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DieseArbeitsmappe"/>
  <mc:AlternateContent xmlns:mc="http://schemas.openxmlformats.org/markup-compatibility/2006">
    <mc:Choice Requires="x15">
      <x15ac:absPath xmlns:x15ac="http://schemas.microsoft.com/office/spreadsheetml/2010/11/ac" url="Q:\Plants\AA_Plants_neue_File_Struktur\Obstbau\Projekte\BETRIEBSWIRTSCHAFT\Mostapfel Hochstamm\2024\"/>
    </mc:Choice>
  </mc:AlternateContent>
  <xr:revisionPtr revIDLastSave="0" documentId="13_ncr:1_{A9CEBFD3-3A33-4710-B7A1-822939544E30}" xr6:coauthVersionLast="36" xr6:coauthVersionMax="36" xr10:uidLastSave="{00000000-0000-0000-0000-000000000000}"/>
  <bookViews>
    <workbookView xWindow="0" yWindow="0" windowWidth="28800" windowHeight="12420" tabRatio="693" activeTab="5" xr2:uid="{00000000-000D-0000-FFFF-FFFF00000000}"/>
  </bookViews>
  <sheets>
    <sheet name="Nutzungsvereinbarung" sheetId="9" r:id="rId1"/>
    <sheet name="Kosten" sheetId="8" r:id="rId2"/>
    <sheet name="Erstellung" sheetId="1" r:id="rId3"/>
    <sheet name="Aufbauphase" sheetId="2" r:id="rId4"/>
    <sheet name="Obstanlagewert nach Aufbauphase" sheetId="3" r:id="rId5"/>
    <sheet name="Ertragsphase" sheetId="4" r:id="rId6"/>
    <sheet name="modDBKAT01" sheetId="7" state="hidden" r:id="rId7"/>
  </sheets>
  <definedNames>
    <definedName name="Basisbeitrag_31a">#REF!</definedName>
    <definedName name="Beschreibung">#REF!</definedName>
    <definedName name="Bodenanalyse_Gemüse">#REF!</definedName>
    <definedName name="Bodenanalyse_Obst">#REF!</definedName>
    <definedName name="colD1_5">#REF!</definedName>
    <definedName name="colD1_6">#REF!</definedName>
    <definedName name="colF1_5">#REF!</definedName>
    <definedName name="colF1_6">#REF!</definedName>
    <definedName name="colUA1_5">#REF!</definedName>
    <definedName name="colUA1_6">#REF!</definedName>
    <definedName name="_xlnm.Print_Area" localSheetId="3">Aufbauphase!$A$1:$G$52</definedName>
    <definedName name="_xlnm.Print_Area" localSheetId="2">Erstellung!$A$1:$F$33</definedName>
    <definedName name="_xlnm.Print_Area" localSheetId="5">Ertragsphase!$A$1:$G$65</definedName>
    <definedName name="_xlnm.Print_Area" localSheetId="0">Nutzungsvereinbarung!$B$1:$C$33</definedName>
    <definedName name="_xlnm.Print_Area" localSheetId="4">'Obstanlagewert nach Aufbauphase'!$A$1:$F$38</definedName>
    <definedName name="Früchtek_250">#REF!</definedName>
    <definedName name="Früchtek_500">#REF!</definedName>
    <definedName name="Früchtekörbchen_1kg">#REF!</definedName>
    <definedName name="Gebindegrösse_G1">NA()</definedName>
    <definedName name="Gebindegrösse_G1_30">NA()</definedName>
    <definedName name="Harasse">#REF!</definedName>
    <definedName name="Kader">#REF!</definedName>
    <definedName name="Kleinmaterial">#REF!</definedName>
    <definedName name="Kontrollbeiträge_Obst_Bio">#REF!</definedName>
    <definedName name="Kontrollbeiträge_Obst_IP">#REF!</definedName>
    <definedName name="Kontrollbeiträge_Reben_Bio">#REF!</definedName>
    <definedName name="Palette">#REF!</definedName>
    <definedName name="Propagandastreifen_IP">#REF!</definedName>
    <definedName name="Spezialkulturen_31b_Bio">#REF!</definedName>
    <definedName name="Spezialkulturen_31b_IP">#REF!</definedName>
    <definedName name="Verbandsbeitrag_Bio">#REF!</definedName>
    <definedName name="Zinsanspruch">#REF!</definedName>
  </definedNames>
  <calcPr calcId="191029"/>
</workbook>
</file>

<file path=xl/calcChain.xml><?xml version="1.0" encoding="utf-8"?>
<calcChain xmlns="http://schemas.openxmlformats.org/spreadsheetml/2006/main">
  <c r="F63" i="4" l="1"/>
  <c r="D53" i="4"/>
  <c r="F13" i="3"/>
  <c r="E63" i="8"/>
  <c r="E64" i="8"/>
  <c r="G60" i="8"/>
  <c r="E4" i="1"/>
  <c r="A63" i="4" l="1"/>
  <c r="A61" i="4"/>
  <c r="E51" i="4" l="1"/>
  <c r="F51" i="4" s="1"/>
  <c r="D22" i="4"/>
  <c r="D29" i="4" s="1"/>
  <c r="E21" i="4"/>
  <c r="G14" i="4" l="1"/>
  <c r="E16" i="8" l="1"/>
  <c r="E15" i="8"/>
  <c r="E14" i="8"/>
  <c r="D19" i="4"/>
  <c r="E18" i="8" l="1"/>
  <c r="E17" i="8"/>
  <c r="G12" i="4"/>
  <c r="H12" i="4" s="1"/>
  <c r="G11" i="4"/>
  <c r="H11" i="4" s="1"/>
  <c r="G10" i="4"/>
  <c r="H10" i="4" s="1"/>
  <c r="G63" i="8" l="1"/>
  <c r="G9" i="4" l="1"/>
  <c r="G13" i="4"/>
  <c r="A2" i="4" l="1"/>
  <c r="E22" i="2"/>
  <c r="G59" i="8"/>
  <c r="G61" i="8"/>
  <c r="G62" i="8"/>
  <c r="F63" i="8"/>
  <c r="E42" i="4" l="1"/>
  <c r="D55" i="4"/>
  <c r="F21" i="2"/>
  <c r="E20" i="4"/>
  <c r="F20" i="4" s="1"/>
  <c r="F14" i="2"/>
  <c r="E22" i="4"/>
  <c r="F17" i="2"/>
  <c r="F16" i="2"/>
  <c r="E24" i="4"/>
  <c r="F18" i="2"/>
  <c r="F19" i="2"/>
  <c r="E25" i="4"/>
  <c r="E26" i="4"/>
  <c r="E27" i="4"/>
  <c r="H13" i="4"/>
  <c r="F8" i="2"/>
  <c r="F7" i="2"/>
  <c r="H9" i="4"/>
  <c r="F6" i="2"/>
  <c r="G8" i="4"/>
  <c r="H8" i="4" s="1"/>
  <c r="F5" i="2"/>
  <c r="H28" i="3"/>
  <c r="H29" i="3"/>
  <c r="H30" i="3"/>
  <c r="H31" i="3"/>
  <c r="H27" i="3"/>
  <c r="H32" i="3" s="1"/>
  <c r="E38" i="4" s="1"/>
  <c r="E17" i="3" l="1"/>
  <c r="G7" i="2"/>
  <c r="G6" i="2"/>
  <c r="F19" i="1" l="1"/>
  <c r="E27" i="1"/>
  <c r="F27" i="1" s="1"/>
  <c r="E16" i="1" l="1"/>
  <c r="E9" i="1"/>
  <c r="F9" i="1" s="1"/>
  <c r="E8" i="1"/>
  <c r="F8" i="1" s="1"/>
  <c r="E7" i="1"/>
  <c r="A1" i="4" l="1"/>
  <c r="F18" i="3"/>
  <c r="E37" i="2"/>
  <c r="A1" i="1" l="1"/>
  <c r="F19" i="4" l="1"/>
  <c r="F15" i="2"/>
  <c r="G15" i="2" s="1"/>
  <c r="G14" i="2"/>
  <c r="F21" i="4"/>
  <c r="F30" i="4" s="1"/>
  <c r="G16" i="2"/>
  <c r="G17" i="2"/>
  <c r="G18" i="2"/>
  <c r="G19" i="2"/>
  <c r="F20" i="2"/>
  <c r="G20" i="2" s="1"/>
  <c r="G21" i="2"/>
  <c r="F22" i="2"/>
  <c r="G22" i="2" s="1"/>
  <c r="F11" i="2"/>
  <c r="G11" i="2" s="1"/>
  <c r="G7" i="4"/>
  <c r="H7" i="4" s="1"/>
  <c r="C12" i="3"/>
  <c r="C13" i="3"/>
  <c r="C17" i="3"/>
  <c r="C19" i="3"/>
  <c r="D4" i="4"/>
  <c r="B52" i="4" s="1"/>
  <c r="G5" i="2"/>
  <c r="G8" i="2"/>
  <c r="F4" i="2"/>
  <c r="G4" i="2" s="1"/>
  <c r="F9" i="2"/>
  <c r="G9" i="2" s="1"/>
  <c r="F10" i="2"/>
  <c r="G10" i="2" s="1"/>
  <c r="F28" i="2"/>
  <c r="G28" i="2" s="1"/>
  <c r="F37" i="2"/>
  <c r="G37" i="2" s="1"/>
  <c r="F27" i="2"/>
  <c r="G27" i="2" s="1"/>
  <c r="F29" i="2"/>
  <c r="G29" i="2" s="1"/>
  <c r="F30" i="2"/>
  <c r="G30" i="2" s="1"/>
  <c r="F31" i="2"/>
  <c r="G31" i="2" s="1"/>
  <c r="F32" i="2"/>
  <c r="G32" i="2" s="1"/>
  <c r="F33" i="2"/>
  <c r="G33" i="2" s="1"/>
  <c r="F34" i="2"/>
  <c r="G34" i="2" s="1"/>
  <c r="F35" i="2"/>
  <c r="G35" i="2" s="1"/>
  <c r="F36" i="2"/>
  <c r="G36" i="2" s="1"/>
  <c r="G25" i="2"/>
  <c r="H14" i="4"/>
  <c r="G15" i="4"/>
  <c r="H15" i="4" s="1"/>
  <c r="F22" i="4"/>
  <c r="E23" i="4"/>
  <c r="F23" i="4" s="1"/>
  <c r="F24" i="4"/>
  <c r="F25" i="4"/>
  <c r="F26" i="4"/>
  <c r="F27" i="4"/>
  <c r="E29" i="4"/>
  <c r="F29" i="4" s="1"/>
  <c r="E28" i="4"/>
  <c r="F28" i="4" s="1"/>
  <c r="F32" i="4"/>
  <c r="F33" i="4"/>
  <c r="D34" i="4"/>
  <c r="E34" i="4"/>
  <c r="D38" i="4"/>
  <c r="F39" i="4"/>
  <c r="F40" i="4"/>
  <c r="E19" i="3"/>
  <c r="F19" i="3" s="1"/>
  <c r="D17" i="3"/>
  <c r="F17" i="3" s="1"/>
  <c r="A1" i="3"/>
  <c r="E17" i="1"/>
  <c r="F17" i="1" s="1"/>
  <c r="E13" i="1"/>
  <c r="F13" i="1" s="1"/>
  <c r="E49" i="4"/>
  <c r="F49" i="4" s="1"/>
  <c r="F57" i="4"/>
  <c r="E53" i="4"/>
  <c r="E52" i="4"/>
  <c r="F52" i="4" s="1"/>
  <c r="E50" i="4"/>
  <c r="F50" i="4" s="1"/>
  <c r="E48" i="4"/>
  <c r="F48" i="4" s="1"/>
  <c r="E47" i="4"/>
  <c r="F47" i="4" s="1"/>
  <c r="E46" i="4"/>
  <c r="F46" i="4" s="1"/>
  <c r="E45" i="4"/>
  <c r="F45" i="4" s="1"/>
  <c r="E44" i="4"/>
  <c r="F44" i="4" s="1"/>
  <c r="E43" i="4"/>
  <c r="F43" i="4" s="1"/>
  <c r="F42" i="4"/>
  <c r="F32" i="3"/>
  <c r="F4" i="1"/>
  <c r="E6" i="1"/>
  <c r="F6" i="1" s="1"/>
  <c r="F7" i="1"/>
  <c r="F11" i="1"/>
  <c r="F12" i="1"/>
  <c r="F16" i="1"/>
  <c r="E18" i="1"/>
  <c r="F18" i="1" s="1"/>
  <c r="E23" i="1"/>
  <c r="F23" i="1" s="1"/>
  <c r="E24" i="1"/>
  <c r="F24" i="1" s="1"/>
  <c r="E25" i="1"/>
  <c r="F25" i="1" s="1"/>
  <c r="E26" i="1"/>
  <c r="F26" i="1" s="1"/>
  <c r="E28" i="1"/>
  <c r="F28" i="1" s="1"/>
  <c r="E39" i="2"/>
  <c r="D29" i="1"/>
  <c r="A2" i="8"/>
  <c r="A2" i="3"/>
  <c r="A2" i="2"/>
  <c r="A1" i="2"/>
  <c r="B7" i="4"/>
  <c r="B4" i="2"/>
  <c r="A4" i="3"/>
  <c r="A6" i="3"/>
  <c r="B36" i="2" l="1"/>
  <c r="F58" i="4"/>
  <c r="F53" i="4"/>
  <c r="F55" i="4" s="1"/>
  <c r="G39" i="2"/>
  <c r="F29" i="1"/>
  <c r="F21" i="1"/>
  <c r="H4" i="4"/>
  <c r="H5" i="4" s="1"/>
  <c r="F34" i="4"/>
  <c r="F14" i="1"/>
  <c r="E35" i="4" s="1"/>
  <c r="F35" i="4" s="1"/>
  <c r="F38" i="4"/>
  <c r="G23" i="2"/>
  <c r="G12" i="2"/>
  <c r="D12" i="3" l="1"/>
  <c r="F12" i="3" s="1"/>
  <c r="D13" i="3"/>
  <c r="F31" i="1"/>
  <c r="F33" i="1" s="1"/>
  <c r="E4" i="3" s="1"/>
  <c r="F4" i="3" s="1"/>
  <c r="G41" i="2"/>
  <c r="G43" i="2" s="1"/>
  <c r="E6" i="3" s="1"/>
  <c r="F6" i="3" s="1"/>
  <c r="F21" i="3" l="1"/>
  <c r="F8" i="3"/>
  <c r="F23" i="3" l="1"/>
  <c r="G6" i="4" s="1"/>
  <c r="H6" i="4" l="1"/>
  <c r="G16" i="4" s="1"/>
  <c r="G18" i="4" l="1"/>
  <c r="F36" i="4"/>
  <c r="F41" i="4" s="1"/>
  <c r="F61" i="4" s="1"/>
  <c r="F5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Suard Thierry</author>
  </authors>
  <commentList>
    <comment ref="E5" authorId="0" shapeId="0" xr:uid="{A78B4853-64CF-4D3F-9F07-72A3FA24763D}">
      <text>
        <r>
          <rPr>
            <b/>
            <sz val="9"/>
            <color indexed="81"/>
            <rFont val="Segoe UI"/>
            <charset val="1"/>
          </rPr>
          <t>Suard Thierry:</t>
        </r>
        <r>
          <rPr>
            <sz val="9"/>
            <color indexed="81"/>
            <rFont val="Segoe UI"/>
            <charset val="1"/>
          </rPr>
          <t xml:space="preserve">
UFA 440 ab 10 kg, Richtpreise UFA, Stand 16.05.2024, 32 kg/ha</t>
        </r>
      </text>
    </comment>
    <comment ref="E8" authorId="0" shapeId="0" xr:uid="{191564B8-BB71-4F2C-BE91-F44FAF6D5893}">
      <text>
        <r>
          <rPr>
            <b/>
            <sz val="9"/>
            <color indexed="81"/>
            <rFont val="Segoe UI"/>
            <charset val="1"/>
          </rPr>
          <t>Suard Thierry:</t>
        </r>
        <r>
          <rPr>
            <sz val="9"/>
            <color indexed="81"/>
            <rFont val="Segoe UI"/>
            <charset val="1"/>
          </rPr>
          <t xml:space="preserve">
Landi Stand 16.05.2024</t>
        </r>
      </text>
    </comment>
    <comment ref="E10" authorId="0" shapeId="0" xr:uid="{DF645585-C38B-4F3D-A106-790EE11DF20F}">
      <text>
        <r>
          <rPr>
            <b/>
            <sz val="9"/>
            <color indexed="81"/>
            <rFont val="Segoe UI"/>
            <charset val="1"/>
          </rPr>
          <t>9.7, Landi, Stand 16.05.2024, keine Preisstaffelung</t>
        </r>
      </text>
    </comment>
    <comment ref="E14" authorId="0" shapeId="0" xr:uid="{597A96D0-2642-41FA-939C-49781C79B34A}">
      <text>
        <r>
          <rPr>
            <b/>
            <sz val="9"/>
            <color indexed="81"/>
            <rFont val="Segoe UI"/>
            <family val="2"/>
          </rPr>
          <t>Suard Thierry:</t>
        </r>
        <r>
          <rPr>
            <sz val="9"/>
            <color indexed="81"/>
            <rFont val="Segoe UI"/>
            <family val="2"/>
          </rPr>
          <t xml:space="preserve">
101.80 für 5 kg, Andermatt Biocontrol AG, Preisstaffelung ab 5 kg bis 24 kg), Stand 16.05.2024</t>
        </r>
      </text>
    </comment>
    <comment ref="E15" authorId="0" shapeId="0" xr:uid="{1D6BB379-1A64-46AE-8767-0D7D166EE5D2}">
      <text>
        <r>
          <rPr>
            <b/>
            <sz val="9"/>
            <color indexed="81"/>
            <rFont val="Segoe UI"/>
            <family val="2"/>
          </rPr>
          <t>Suard Thierry:</t>
        </r>
        <r>
          <rPr>
            <sz val="9"/>
            <color indexed="81"/>
            <rFont val="Segoe UI"/>
            <family val="2"/>
          </rPr>
          <t xml:space="preserve">
98.- für 25 kg, Andermatt Biocontrol, Stand 16.05.2024, Preisstaffelung 25 kg bis 124 kg</t>
        </r>
      </text>
    </comment>
    <comment ref="E16" authorId="0" shapeId="0" xr:uid="{4AF2A968-F93D-4040-9F2F-1E0627E7705B}">
      <text>
        <r>
          <rPr>
            <b/>
            <sz val="9"/>
            <color indexed="81"/>
            <rFont val="Segoe UI"/>
            <charset val="1"/>
          </rPr>
          <t>Suard Thierry:</t>
        </r>
        <r>
          <rPr>
            <sz val="9"/>
            <color indexed="81"/>
            <rFont val="Segoe UI"/>
            <charset val="1"/>
          </rPr>
          <t xml:space="preserve">
278.50 für 25 kg, Andermatt Biocontrol AG, Stand 16.05.2024, Preisstaffelung 25 kg bis 124 kg</t>
        </r>
      </text>
    </comment>
    <comment ref="E17" authorId="0" shapeId="0" xr:uid="{B0E0B5E9-DF19-4534-86B1-F500753258F4}">
      <text>
        <r>
          <rPr>
            <b/>
            <sz val="9"/>
            <color indexed="81"/>
            <rFont val="Segoe UI"/>
            <family val="2"/>
          </rPr>
          <t>Suard Thierry:</t>
        </r>
        <r>
          <rPr>
            <sz val="9"/>
            <color indexed="81"/>
            <rFont val="Segoe UI"/>
            <family val="2"/>
          </rPr>
          <t xml:space="preserve">
101 Fr. pro 20 L Kanister bei Andermatt Biocontrol, Stand 16.05.2024 (Preisstuffe für 1-4 Kanister)</t>
        </r>
      </text>
    </comment>
    <comment ref="E18" authorId="0" shapeId="0" xr:uid="{F633EB89-BA2E-4409-9E25-2E397102C910}">
      <text>
        <r>
          <rPr>
            <sz val="9"/>
            <color indexed="81"/>
            <rFont val="Segoe UI"/>
            <family val="2"/>
          </rPr>
          <t>Armicarb 99.80 für 5kg, Stand 16.05.2024, Andermatt Biocontrol, keine Preisstafelung</t>
        </r>
      </text>
    </comment>
    <comment ref="E19" authorId="0" shapeId="0" xr:uid="{D5D7285A-F0B9-4973-A196-116817BD6ADA}">
      <text>
        <r>
          <rPr>
            <b/>
            <sz val="9"/>
            <color indexed="81"/>
            <rFont val="Segoe UI"/>
            <family val="2"/>
          </rPr>
          <t>Suard Thierry:</t>
        </r>
        <r>
          <rPr>
            <sz val="9"/>
            <color indexed="81"/>
            <rFont val="Segoe UI"/>
            <family val="2"/>
          </rPr>
          <t xml:space="preserve">
75.90 Fr. pro Flasche à 100 ml bei Andermatt Biocontrol, Stand 19.06.2024 (Preisstufe für 1-4 Flaschen)</t>
        </r>
      </text>
    </comment>
    <comment ref="E21" authorId="0" shapeId="0" xr:uid="{C92C8266-D9DF-4EA1-8E2B-6E9347AC086B}">
      <text>
        <r>
          <rPr>
            <b/>
            <sz val="9"/>
            <color indexed="81"/>
            <rFont val="Segoe UI"/>
            <charset val="1"/>
          </rPr>
          <t xml:space="preserve">58.40 pro Stk.,  Andermatt Biocontrol AG, Stand 16.05.2024, Preisstaffelung  ab 5 Stk. </t>
        </r>
      </text>
    </comment>
    <comment ref="E37" authorId="0" shapeId="0" xr:uid="{3D0880D8-C4E0-4958-A54D-C448B3357F25}">
      <text>
        <r>
          <rPr>
            <b/>
            <sz val="9"/>
            <color indexed="81"/>
            <rFont val="Segoe UI"/>
            <charset val="1"/>
          </rPr>
          <t>Suard Thierry:</t>
        </r>
        <r>
          <rPr>
            <sz val="9"/>
            <color indexed="81"/>
            <rFont val="Segoe UI"/>
            <charset val="1"/>
          </rPr>
          <t xml:space="preserve">
82.53 Fr.  pro ha
5 Spritzungen pro Jahr, Anlagegrösse 3 ha (wegen der Auslastung), Kaufpreis Anhängegebläsespritze 20000.-, Abschreibung auf 20 Jahre, Berechnung mit TractoScope_23 von Agroscope Tänikon (FAT)</t>
        </r>
      </text>
    </comment>
    <comment ref="E38" authorId="0" shapeId="0" xr:uid="{9913CF04-AD17-4B27-9E0D-AD7A1E2FBEED}">
      <text>
        <r>
          <rPr>
            <b/>
            <sz val="9"/>
            <color indexed="81"/>
            <rFont val="Segoe UI"/>
            <charset val="1"/>
          </rPr>
          <t>Suard Thierry:</t>
        </r>
        <r>
          <rPr>
            <sz val="9"/>
            <color indexed="81"/>
            <rFont val="Segoe UI"/>
            <charset val="1"/>
          </rPr>
          <t xml:space="preserve">
28.13 Fr.  pro ha
5 Spritzungen pro Jahr, Anlagegrösse 3 ha (wegen der Auslastung), Kaufpreis Schlauchspritze 3000.-, Abschreibung auf 20 Jahre, Berechnung mit TractoScope_23 von Agroscope Tänikon (FAT)</t>
        </r>
      </text>
    </comment>
    <comment ref="E51" authorId="0" shapeId="0" xr:uid="{BE786E3F-4CC1-4DCB-90CD-BE413375D880}">
      <text>
        <r>
          <rPr>
            <b/>
            <sz val="9"/>
            <color indexed="81"/>
            <rFont val="Segoe UI"/>
            <charset val="1"/>
          </rPr>
          <t>Suard Thierry:</t>
        </r>
        <r>
          <rPr>
            <sz val="9"/>
            <color indexed="81"/>
            <rFont val="Segoe UI"/>
            <charset val="1"/>
          </rPr>
          <t xml:space="preserve">
Wie IP Bereich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Suard Thierry</author>
  </authors>
  <commentList>
    <comment ref="D13" authorId="0" shapeId="0" xr:uid="{6A252FC5-8A27-40A9-9C4B-7DA16A921EC3}">
      <text>
        <r>
          <rPr>
            <b/>
            <sz val="9"/>
            <color indexed="81"/>
            <rFont val="Segoe UI"/>
            <charset val="1"/>
          </rPr>
          <t>Suard Thierry:</t>
        </r>
        <r>
          <rPr>
            <sz val="9"/>
            <color indexed="81"/>
            <rFont val="Segoe UI"/>
            <charset val="1"/>
          </rPr>
          <t xml:space="preserve">
40 Fallen für 3 ha 
-&gt;aufgerundet 14 Fallen/ha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Suard Thierry</author>
  </authors>
  <commentList>
    <comment ref="A9" authorId="0" shapeId="0" xr:uid="{F60CB1CB-01DC-45A6-BC29-06601C3E4121}">
      <text>
        <r>
          <rPr>
            <b/>
            <sz val="9"/>
            <color indexed="81"/>
            <rFont val="Segoe UI"/>
            <family val="2"/>
          </rPr>
          <t>Suard Thierry:</t>
        </r>
        <r>
          <rPr>
            <sz val="9"/>
            <color indexed="81"/>
            <rFont val="Segoe UI"/>
            <family val="2"/>
          </rPr>
          <t xml:space="preserve">
3 ha Hochstamm, 360 Bäume, 15 stunden Weiterbildung, das heisst 5 Stunden Weiterbildung pro ha</t>
        </r>
      </text>
    </comment>
    <comment ref="E16" authorId="0" shapeId="0" xr:uid="{AB20DAE7-EE58-4B83-B1FA-30928753A987}">
      <text>
        <r>
          <rPr>
            <b/>
            <sz val="9"/>
            <color indexed="81"/>
            <rFont val="Segoe UI"/>
            <family val="2"/>
          </rPr>
          <t>Suard Thierry:</t>
        </r>
        <r>
          <rPr>
            <sz val="9"/>
            <color indexed="81"/>
            <rFont val="Segoe UI"/>
            <family val="2"/>
          </rPr>
          <t xml:space="preserve">
8 std Apfel liefern, 2 std Äste entsorten
</t>
        </r>
      </text>
    </comment>
    <comment ref="B18" authorId="0" shapeId="0" xr:uid="{7C8CDAD0-CD3B-46C6-A632-521EA623FADF}">
      <text>
        <r>
          <rPr>
            <b/>
            <sz val="9"/>
            <color indexed="81"/>
            <rFont val="Segoe UI"/>
            <family val="2"/>
          </rPr>
          <t>Suard Thierry:</t>
        </r>
        <r>
          <rPr>
            <sz val="9"/>
            <color indexed="81"/>
            <rFont val="Segoe UI"/>
            <family val="2"/>
          </rPr>
          <t xml:space="preserve">
10 Std weniger als Ertragsphase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Suard Thierry</author>
  </authors>
  <commentList>
    <comment ref="G4" authorId="0" shapeId="0" xr:uid="{54D3F8A5-1ED1-4FBF-8518-FDC6FE33FD55}">
      <text>
        <r>
          <rPr>
            <b/>
            <sz val="9"/>
            <color indexed="81"/>
            <rFont val="Segoe UI"/>
            <family val="2"/>
          </rPr>
          <t>Suard Thierry:</t>
        </r>
        <r>
          <rPr>
            <sz val="9"/>
            <color indexed="81"/>
            <rFont val="Segoe UI"/>
            <family val="2"/>
          </rPr>
          <t xml:space="preserve">
Spezialmostobst</t>
        </r>
      </text>
    </comment>
    <comment ref="B9" authorId="0" shapeId="0" xr:uid="{8E1448FE-84D0-4AEC-8B45-E8B8A7228F2F}">
      <text>
        <r>
          <rPr>
            <b/>
            <sz val="9"/>
            <color indexed="81"/>
            <rFont val="Segoe UI"/>
            <charset val="1"/>
          </rPr>
          <t>Suard Thierry:</t>
        </r>
        <r>
          <rPr>
            <sz val="9"/>
            <color indexed="81"/>
            <rFont val="Segoe UI"/>
            <charset val="1"/>
          </rPr>
          <t xml:space="preserve">
in Tankmischung mit Madex</t>
        </r>
      </text>
    </comment>
    <comment ref="B12" authorId="0" shapeId="0" xr:uid="{59681DB4-E543-489B-9D71-54F39DBA6203}">
      <text>
        <r>
          <rPr>
            <b/>
            <sz val="9"/>
            <color indexed="81"/>
            <rFont val="Segoe UI"/>
            <charset val="1"/>
          </rPr>
          <t>Suard Thierry:</t>
        </r>
        <r>
          <rPr>
            <sz val="9"/>
            <color indexed="81"/>
            <rFont val="Segoe UI"/>
            <charset val="1"/>
          </rPr>
          <t xml:space="preserve">
wird in Tankmischung mit Schwefel und Kalium-Bicarbonat angewendet</t>
        </r>
      </text>
    </comment>
    <comment ref="B13" authorId="0" shapeId="0" xr:uid="{8C240E06-E97F-4812-A392-2BDA9A83FCBC}">
      <text>
        <r>
          <rPr>
            <b/>
            <sz val="9"/>
            <color indexed="81"/>
            <rFont val="Segoe UI"/>
            <charset val="1"/>
          </rPr>
          <t>Suard Thierry:</t>
        </r>
        <r>
          <rPr>
            <sz val="9"/>
            <color indexed="81"/>
            <rFont val="Segoe UI"/>
            <charset val="1"/>
          </rPr>
          <t xml:space="preserve">
Damit nicht zu viele Äpfel faul sind, in Tankmischung mit Netzschwefel</t>
        </r>
      </text>
    </comment>
    <comment ref="B21" authorId="0" shapeId="0" xr:uid="{917C32BF-EDBA-4F0B-BF65-5AE96EA78530}">
      <text>
        <r>
          <rPr>
            <b/>
            <sz val="9"/>
            <color indexed="81"/>
            <rFont val="Segoe UI"/>
            <charset val="1"/>
          </rPr>
          <t>Suard Thierry:</t>
        </r>
        <r>
          <rPr>
            <sz val="9"/>
            <color indexed="81"/>
            <rFont val="Segoe UI"/>
            <charset val="1"/>
          </rPr>
          <t xml:space="preserve">
6 spritzungen/Jahr
Kupfer
Kupfer
Tonerde
Tonderde
Schwefel + Kalium-Bicarbonat + Madex
Schwefel + Madex</t>
        </r>
      </text>
    </comment>
    <comment ref="D22" authorId="0" shapeId="0" xr:uid="{5B6A3E15-D31B-4A26-80C0-081FDD645B14}">
      <text>
        <r>
          <rPr>
            <b/>
            <sz val="9"/>
            <color indexed="81"/>
            <rFont val="Segoe UI"/>
            <charset val="1"/>
          </rPr>
          <t>Suard Thierry:</t>
        </r>
        <r>
          <rPr>
            <sz val="9"/>
            <color indexed="81"/>
            <rFont val="Segoe UI"/>
            <charset val="1"/>
          </rPr>
          <t xml:space="preserve">
Suard Thierry:
5 t/Kipper, 1 Std Fahrt Hin- und Zurück, -&gt; 25000 kg -&gt; 5 Fahrten -&gt; 5 Std für 25000 kg</t>
        </r>
      </text>
    </comment>
    <comment ref="D24" authorId="0" shapeId="0" xr:uid="{88197950-2C17-4369-809E-185975D23F84}">
      <text>
        <r>
          <rPr>
            <b/>
            <sz val="9"/>
            <color indexed="81"/>
            <rFont val="Segoe UI"/>
            <family val="2"/>
          </rPr>
          <t>Suard Thierry:</t>
        </r>
        <r>
          <rPr>
            <sz val="9"/>
            <color indexed="81"/>
            <rFont val="Segoe UI"/>
            <family val="2"/>
          </rPr>
          <t xml:space="preserve">
30 Min/Baum jedes zweites Jahr
im Schnitt der Jahre + 10 Std/ha Pflegearbeiten</t>
        </r>
      </text>
    </comment>
    <comment ref="D27" authorId="0" shapeId="0" xr:uid="{E0836A97-FAE8-4CA9-8EA2-3124913129B0}">
      <text>
        <r>
          <rPr>
            <b/>
            <sz val="9"/>
            <color indexed="81"/>
            <rFont val="Segoe UI"/>
            <charset val="1"/>
          </rPr>
          <t>Suard Thierry:</t>
        </r>
        <r>
          <rPr>
            <sz val="9"/>
            <color indexed="81"/>
            <rFont val="Segoe UI"/>
            <charset val="1"/>
          </rPr>
          <t xml:space="preserve">
Handauflesen: 40 akh/ha
Voll mechanisiert: 11 akh/ha</t>
        </r>
      </text>
    </comment>
    <comment ref="E35" authorId="0" shapeId="0" xr:uid="{0484B4A1-4742-4CEC-A9B5-AAB67FCBBCA7}">
      <text>
        <r>
          <rPr>
            <b/>
            <sz val="9"/>
            <color indexed="81"/>
            <rFont val="Segoe UI"/>
            <charset val="1"/>
          </rPr>
          <t>Suard Thierry:</t>
        </r>
        <r>
          <rPr>
            <sz val="9"/>
            <color indexed="81"/>
            <rFont val="Segoe UI"/>
            <charset val="1"/>
          </rPr>
          <t xml:space="preserve">
Pflanzgut und Baumgerüst
</t>
        </r>
      </text>
    </comment>
    <comment ref="F39" authorId="0" shapeId="0" xr:uid="{3D3B545E-B8B1-4856-9EED-B97C806EE8AC}">
      <text>
        <r>
          <rPr>
            <b/>
            <sz val="9"/>
            <color indexed="81"/>
            <rFont val="Segoe UI"/>
            <charset val="1"/>
          </rPr>
          <t>Suard Thierry:</t>
        </r>
        <r>
          <rPr>
            <sz val="9"/>
            <color indexed="81"/>
            <rFont val="Segoe UI"/>
            <charset val="1"/>
          </rPr>
          <t xml:space="preserve">
geht auf Futterbau</t>
        </r>
      </text>
    </comment>
    <comment ref="D42" authorId="0" shapeId="0" xr:uid="{5BD06527-E3DC-4465-82EC-3979BE778A3B}">
      <text>
        <r>
          <rPr>
            <b/>
            <sz val="9"/>
            <color indexed="81"/>
            <rFont val="Segoe UI"/>
            <family val="2"/>
          </rPr>
          <t>Suard Thierry:</t>
        </r>
        <r>
          <rPr>
            <sz val="9"/>
            <color indexed="81"/>
            <rFont val="Segoe UI"/>
            <family val="2"/>
          </rPr>
          <t xml:space="preserve">
45 Min pro Baum jedes 2. Jahr</t>
        </r>
      </text>
    </comment>
    <comment ref="D44" authorId="0" shapeId="0" xr:uid="{847A9E62-3B00-4882-9853-B48004B36AA6}">
      <text>
        <r>
          <rPr>
            <b/>
            <sz val="9"/>
            <color indexed="81"/>
            <rFont val="Segoe UI"/>
            <charset val="1"/>
          </rPr>
          <t>Suard Thierry:</t>
        </r>
        <r>
          <rPr>
            <sz val="9"/>
            <color indexed="81"/>
            <rFont val="Segoe UI"/>
            <charset val="1"/>
          </rPr>
          <t xml:space="preserve">
1 Minute pro Baum à 2 Personen -&gt; 120 Bäume/ha -&gt;  4 Akh/ha  für eine Spritzung, für 5 Spritzungen braucht es also 20 Akh (inkl. Füllen und Putzen)</t>
        </r>
      </text>
    </comment>
    <comment ref="D46" authorId="0" shapeId="0" xr:uid="{94B2CEDB-AD33-4533-BBC1-38F581250480}">
      <text>
        <r>
          <rPr>
            <b/>
            <sz val="9"/>
            <color indexed="81"/>
            <rFont val="Segoe UI"/>
            <charset val="1"/>
          </rPr>
          <t>Suard Thierry:</t>
        </r>
        <r>
          <rPr>
            <sz val="9"/>
            <color indexed="81"/>
            <rFont val="Segoe UI"/>
            <charset val="1"/>
          </rPr>
          <t xml:space="preserve">
5 x 4 akh= 20 akh</t>
        </r>
      </text>
    </comment>
    <comment ref="D50" authorId="0" shapeId="0" xr:uid="{6629AC04-6DB4-444F-8A69-98C85E1201D5}">
      <text>
        <r>
          <rPr>
            <b/>
            <sz val="9"/>
            <color indexed="81"/>
            <rFont val="Segoe UI"/>
            <charset val="1"/>
          </rPr>
          <t>Suard Thierry:</t>
        </r>
        <r>
          <rPr>
            <sz val="9"/>
            <color indexed="81"/>
            <rFont val="Segoe UI"/>
            <charset val="1"/>
          </rPr>
          <t xml:space="preserve">
4x 4 Akh = 16 Akh</t>
        </r>
      </text>
    </comment>
    <comment ref="D51" authorId="0" shapeId="0" xr:uid="{73CC7DA8-7B9C-4CEB-8E25-2422EC0FF2FF}">
      <text>
        <r>
          <rPr>
            <b/>
            <sz val="9"/>
            <color indexed="81"/>
            <rFont val="Segoe UI"/>
            <charset val="1"/>
          </rPr>
          <t>Suard Thierry:</t>
        </r>
        <r>
          <rPr>
            <sz val="9"/>
            <color indexed="81"/>
            <rFont val="Segoe UI"/>
            <charset val="1"/>
          </rPr>
          <t xml:space="preserve">
4.5 Std  pro Kipper à 5 t, also 54 Minuten pro t, 22.5 Std für 25 t</t>
        </r>
      </text>
    </comment>
    <comment ref="D52" authorId="0" shapeId="0" xr:uid="{ECF9CD18-54F9-4F06-AD0B-E8BE5812EB77}">
      <text>
        <r>
          <rPr>
            <b/>
            <sz val="9"/>
            <color indexed="81"/>
            <rFont val="Segoe UI"/>
            <charset val="1"/>
          </rPr>
          <t>Suard Thierry:</t>
        </r>
        <r>
          <rPr>
            <sz val="9"/>
            <color indexed="81"/>
            <rFont val="Segoe UI"/>
            <charset val="1"/>
          </rPr>
          <t xml:space="preserve">
5 t/Kipper, 1 Std Fahrt Hin- und Zurück und 30 Minuten zum Abladen und Warten, -&gt; 25000 kg -&gt; 5 Fahrten -&gt; 7.5 Std für 25000 kg</t>
        </r>
      </text>
    </comment>
  </commentList>
</comments>
</file>

<file path=xl/sharedStrings.xml><?xml version="1.0" encoding="utf-8"?>
<sst xmlns="http://schemas.openxmlformats.org/spreadsheetml/2006/main" count="376" uniqueCount="230">
  <si>
    <t>Menge</t>
  </si>
  <si>
    <t>Pflanzgut</t>
  </si>
  <si>
    <t>Baumgerüst</t>
  </si>
  <si>
    <t>Bindematerial</t>
  </si>
  <si>
    <t>Verschiedenes</t>
  </si>
  <si>
    <t>Bodenanalyse</t>
  </si>
  <si>
    <t xml:space="preserve">Total Direktkosten </t>
  </si>
  <si>
    <t>Maschinen</t>
  </si>
  <si>
    <t>Kreiselegge</t>
  </si>
  <si>
    <t>Sämaschine 3m</t>
  </si>
  <si>
    <t>Zugkraft</t>
  </si>
  <si>
    <t>Kleingerät</t>
  </si>
  <si>
    <t>Total Maschinen und Zugkräfte</t>
  </si>
  <si>
    <t>Bodenmiete</t>
  </si>
  <si>
    <t>Arbeiten</t>
  </si>
  <si>
    <t>Bodenprobe</t>
  </si>
  <si>
    <t>Ausmessen</t>
  </si>
  <si>
    <t>Pflanzung</t>
  </si>
  <si>
    <t>Total Strukturkosten</t>
  </si>
  <si>
    <t>Aufbauphase 1.-15 Jahr: Jahreskosten</t>
  </si>
  <si>
    <t>Allgemeine Unkosten</t>
  </si>
  <si>
    <t>Total Direktkosten</t>
  </si>
  <si>
    <t>Verlustzeiten</t>
  </si>
  <si>
    <t>10% der aufgelaufenden Arbeiten</t>
  </si>
  <si>
    <t>Total Bildung Obstanlagewert / Jahr</t>
  </si>
  <si>
    <t>Ertragsphase</t>
  </si>
  <si>
    <t>Bodenanalyse (alle 10 Jahre)</t>
  </si>
  <si>
    <t>Bio Beitrag</t>
  </si>
  <si>
    <t>DB (inkl. Beiträge)</t>
  </si>
  <si>
    <t>Akh total</t>
  </si>
  <si>
    <t>davon Verlustzeiten</t>
  </si>
  <si>
    <t>Arbeitsverdienst DB inkl Beiträge/Akh</t>
  </si>
  <si>
    <t>Total Erstellungskosten</t>
  </si>
  <si>
    <t>Pflanzlochbohrer</t>
  </si>
  <si>
    <t>Mulchen entlang Baumreihen</t>
  </si>
  <si>
    <t>Mausen Topcat</t>
  </si>
  <si>
    <t>Schnittholzrechen</t>
  </si>
  <si>
    <t>Stammschutz anti-knabb</t>
  </si>
  <si>
    <t>Stützpfahl je Baum, Akazie</t>
  </si>
  <si>
    <t xml:space="preserve">Menge </t>
  </si>
  <si>
    <t>Diverses (Organisation usw.)</t>
  </si>
  <si>
    <t>Unternutzen (Futterertrag): unabhängige Rechnung</t>
  </si>
  <si>
    <t>Bio Hochstammbäume</t>
  </si>
  <si>
    <t>Düngung:</t>
  </si>
  <si>
    <t>Schädlings- und Feuerbrandkontrolle</t>
  </si>
  <si>
    <t xml:space="preserve"> Jahre</t>
  </si>
  <si>
    <t>Ertrag</t>
  </si>
  <si>
    <t>Ertrag Mostobst</t>
  </si>
  <si>
    <t>Total Ertrag</t>
  </si>
  <si>
    <t>Vergleichbarer Deckungsbeitrag DB (Ertrag - Direktkosten)</t>
  </si>
  <si>
    <t>Kontroll- und Labelkosten Bio Suisse</t>
  </si>
  <si>
    <t xml:space="preserve">Einnahmen während der Aufbauphase </t>
  </si>
  <si>
    <t xml:space="preserve"> Kosten Aufbauphase</t>
  </si>
  <si>
    <t>Vernetzung</t>
  </si>
  <si>
    <t>Branchenabgabe) ohne Beiträge</t>
  </si>
  <si>
    <t>Total eigener Lohnanspruch Akh</t>
  </si>
  <si>
    <t xml:space="preserve">DB (Ertrag minus Direktkosten, Maschinen, Bodenmiete, Labelk.,  </t>
  </si>
  <si>
    <t>Pflanzenschutz:</t>
  </si>
  <si>
    <t>Einheit</t>
  </si>
  <si>
    <t>Einh.</t>
  </si>
  <si>
    <t>Stück</t>
  </si>
  <si>
    <t>Stk.</t>
  </si>
  <si>
    <t>Tonne</t>
  </si>
  <si>
    <t>t</t>
  </si>
  <si>
    <t>Betriebsleiter</t>
  </si>
  <si>
    <t>Stunde</t>
  </si>
  <si>
    <t>Betriebsstunde</t>
  </si>
  <si>
    <t>h</t>
  </si>
  <si>
    <t>Kilogramm</t>
  </si>
  <si>
    <t>kg</t>
  </si>
  <si>
    <t>Analyse</t>
  </si>
  <si>
    <t>An.</t>
  </si>
  <si>
    <t>Pauschale</t>
  </si>
  <si>
    <t>ges</t>
  </si>
  <si>
    <t>Erstellungsphase</t>
  </si>
  <si>
    <t>Kompost</t>
  </si>
  <si>
    <t>Pflanzenschutz</t>
  </si>
  <si>
    <t>Arbeit</t>
  </si>
  <si>
    <t>Allgem. Unkosten (Aufbauphase)</t>
  </si>
  <si>
    <t>Fr./Hektar</t>
  </si>
  <si>
    <t>Fr./ha</t>
  </si>
  <si>
    <t>kg/Baum</t>
  </si>
  <si>
    <t>kg/B</t>
  </si>
  <si>
    <t>3.- 5. Standjahr</t>
  </si>
  <si>
    <t>6.-10. Standjahr</t>
  </si>
  <si>
    <t>11.-15. Standjahr</t>
  </si>
  <si>
    <t>kg/Hektar</t>
  </si>
  <si>
    <t>kg/ha</t>
  </si>
  <si>
    <t>pro 100 kg</t>
  </si>
  <si>
    <t>/100kg</t>
  </si>
  <si>
    <t>1.-2. Standjahr</t>
  </si>
  <si>
    <t>Jahre</t>
  </si>
  <si>
    <t>Mäusefallen Topcat</t>
  </si>
  <si>
    <t>Bio Knospe Hochstammbäume</t>
  </si>
  <si>
    <t>Erstellung Strukturelemente DZV</t>
  </si>
  <si>
    <t>Direktzahlungen:  Biobeitrag</t>
  </si>
  <si>
    <t>DZV Beiträge/Baum</t>
  </si>
  <si>
    <t xml:space="preserve">Mäusefallen </t>
  </si>
  <si>
    <t xml:space="preserve">Materialien für Struckturelemente </t>
  </si>
  <si>
    <t>abzüglich Branchenabgabe SOV</t>
  </si>
  <si>
    <t xml:space="preserve">Stützpfahl 2.5m, Akazie 6-8cm </t>
  </si>
  <si>
    <t xml:space="preserve">Kosten und Ertrag pro Einheit </t>
  </si>
  <si>
    <t>Basisbeitrag DZV (ohne Tiere)</t>
  </si>
  <si>
    <t>ha</t>
  </si>
  <si>
    <t>Basisbeitrag</t>
  </si>
  <si>
    <t>Total Strukturkosten (Maschinen und Zugkräfte, Bodenmiete, eigener Lohnanspruch)</t>
  </si>
  <si>
    <t>Qualität I (Fr. 15.50)</t>
  </si>
  <si>
    <t>Qualität II (Fr. 31.50)</t>
  </si>
  <si>
    <t>Das Kopieren oder jede anderweitige Vervielfältigung, die Abgabe (auch einer veränderten Version) und das überlassen der Modellrechnung an Dritte ist unter den folgenden Bedingungen erlaubt:</t>
  </si>
  <si>
    <t>Pflege Strukturelemente</t>
  </si>
  <si>
    <t xml:space="preserve">Total </t>
  </si>
  <si>
    <t>Mostobstsortiermaschine</t>
  </si>
  <si>
    <t>Zinsanspruch invest. Obstanlagewert</t>
  </si>
  <si>
    <t>Baumschüttler</t>
  </si>
  <si>
    <t xml:space="preserve">Pflanzenschutz </t>
  </si>
  <si>
    <t>Fungizid</t>
  </si>
  <si>
    <t>Insektizid</t>
  </si>
  <si>
    <t>Maschinen und Geräte</t>
  </si>
  <si>
    <t>Produkteertrag Bio Knospe &amp; Hochstamm Suisse</t>
  </si>
  <si>
    <t xml:space="preserve">Obstanlagewert nach 15 Jahren mit einem Gewinn/Verlust von:             </t>
  </si>
  <si>
    <t>Produkteertrag</t>
  </si>
  <si>
    <t>Landschaftsqualität</t>
  </si>
  <si>
    <t>Obstanlagewert abschreiben Jahre</t>
  </si>
  <si>
    <t>Branchenabgabe SOV Mostobst</t>
  </si>
  <si>
    <t>Preis Fr.</t>
  </si>
  <si>
    <r>
      <t xml:space="preserve">DG </t>
    </r>
    <r>
      <rPr>
        <vertAlign val="superscript"/>
        <sz val="10"/>
        <rFont val="Arial"/>
        <family val="2"/>
      </rPr>
      <t>1</t>
    </r>
  </si>
  <si>
    <r>
      <rPr>
        <vertAlign val="superscript"/>
        <sz val="10"/>
        <rFont val="Arial"/>
        <family val="2"/>
      </rPr>
      <t xml:space="preserve">1 </t>
    </r>
    <r>
      <rPr>
        <sz val="10"/>
        <rFont val="Arial"/>
        <family val="2"/>
      </rPr>
      <t>DG = Durchgänge</t>
    </r>
  </si>
  <si>
    <t>Fr.-/ha</t>
  </si>
  <si>
    <t>Fr.- /ha</t>
  </si>
  <si>
    <r>
      <rPr>
        <b/>
        <sz val="14"/>
        <color indexed="8"/>
        <rFont val="Arial"/>
        <family val="2"/>
      </rPr>
      <t>Gebrauchsanleitung für eine eigene betriebsspezifische Variante</t>
    </r>
    <r>
      <rPr>
        <b/>
        <sz val="12"/>
        <color indexed="8"/>
        <rFont val="Arial"/>
        <family val="2"/>
      </rPr>
      <t/>
    </r>
  </si>
  <si>
    <t>Diese Nutzungsvereinbarung regelt die Rechte des FiBL und des/der NutzersIn der Modellrechnung. Das FiBL in Frick gewährt dem/der NutzerIn das einfache, zeitlich unbegrenzte und nicht übertragbare Nutzungsrecht, die Modellrechnung auf seinem/ihrem Computer zu installieren und zu nutzen.</t>
  </si>
  <si>
    <t xml:space="preserve">Das FiBL in Frick behält sich vor, die Modellrechnung sowie die zugehörige Benutzerinformation jederzeit zu ändern, weiterzuentwickeln, zu verbessern oder durch eine neue Entwicklung zu ersetzen. </t>
  </si>
  <si>
    <t>Speichern Sie die FiBL Modellrechnung als eigene Version.</t>
  </si>
  <si>
    <t>1.</t>
  </si>
  <si>
    <t>2.</t>
  </si>
  <si>
    <t>3.</t>
  </si>
  <si>
    <t>4.</t>
  </si>
  <si>
    <t>Die Modellrechnungen sind Bestandteil des Merkblattes "Biologischer Obstbau auf Hochstämmen", Ausgabe 2016 des Forschunginstitutes für biologischen Landbau (FiBL) in Frick. Die Benutzer sind aufgerufen, die Berechnungen als Arbeitsinstrument für eine eigene betriebsspezifische Version zu nutzen. 
Die Modellrechnungen basieren auf den Grundlagen von: FiBL Frick (O. Schmid, A. Häseli, 1996), Diplomarbeit Hitz/Locher HWV Aargau 1996, Kant. Fachstelle Obst ZH, Klaus  Gersbach/Hans Brunner 2006,  Hans Brunner 2012 sowie 2016 und wurden immer wieder überarbeitet und weiterentwickelt. Sie werden interessierten Benutzern als Dienstleistung zur Verfügung gestellt unter der Bedingung der nachstehenden Nutzungsvereinbarung mit welcher der Benutzer sich mit dem Herunterladen und der Verwendung des Modells ausdrücklich einverstanden erklärt.</t>
  </si>
  <si>
    <t>Nutzungsvereinbarung und Gebrauchsanleitung</t>
  </si>
  <si>
    <r>
      <t>Preis Fr.</t>
    </r>
    <r>
      <rPr>
        <vertAlign val="superscript"/>
        <sz val="10"/>
        <rFont val="Arial"/>
        <family val="2"/>
      </rPr>
      <t>2</t>
    </r>
  </si>
  <si>
    <r>
      <rPr>
        <vertAlign val="superscript"/>
        <sz val="10"/>
        <rFont val="Arial"/>
        <family val="2"/>
      </rPr>
      <t>2</t>
    </r>
    <r>
      <rPr>
        <sz val="10"/>
        <rFont val="Arial"/>
        <family val="2"/>
      </rPr>
      <t xml:space="preserve"> Die Preise können im Blatt "Kosten" eingesetzt bzw. verändert werden.</t>
    </r>
  </si>
  <si>
    <r>
      <t xml:space="preserve">Aufbauschnitt, Erziehung (Sommer+Winter) </t>
    </r>
    <r>
      <rPr>
        <vertAlign val="superscript"/>
        <sz val="10"/>
        <rFont val="Arial"/>
        <family val="2"/>
      </rPr>
      <t>3</t>
    </r>
  </si>
  <si>
    <r>
      <t xml:space="preserve">Schnittholz auf Asthaufen (Mech./Hand) </t>
    </r>
    <r>
      <rPr>
        <vertAlign val="superscript"/>
        <sz val="10"/>
        <rFont val="Arial"/>
        <family val="2"/>
      </rPr>
      <t>4</t>
    </r>
  </si>
  <si>
    <r>
      <t xml:space="preserve">Bäume schütteln (Mech./Hand) </t>
    </r>
    <r>
      <rPr>
        <vertAlign val="superscript"/>
        <sz val="10"/>
        <rFont val="Arial"/>
        <family val="2"/>
      </rPr>
      <t>5</t>
    </r>
  </si>
  <si>
    <r>
      <t xml:space="preserve">Obst Auflesen Hand/Auflesemaschine </t>
    </r>
    <r>
      <rPr>
        <vertAlign val="superscript"/>
        <sz val="10"/>
        <rFont val="Arial"/>
        <family val="2"/>
      </rPr>
      <t>6</t>
    </r>
  </si>
  <si>
    <r>
      <rPr>
        <vertAlign val="superscript"/>
        <sz val="10"/>
        <rFont val="Arial"/>
        <family val="2"/>
      </rPr>
      <t xml:space="preserve">3 </t>
    </r>
    <r>
      <rPr>
        <sz val="10"/>
        <rFont val="Arial"/>
        <family val="2"/>
      </rPr>
      <t>Effizienzsteigerung durch Einsatz einer hydraulischen Leiter =&gt; Faktor 3</t>
    </r>
  </si>
  <si>
    <r>
      <rPr>
        <vertAlign val="superscript"/>
        <sz val="10"/>
        <rFont val="Arial"/>
        <family val="2"/>
      </rPr>
      <t xml:space="preserve">4 </t>
    </r>
    <r>
      <rPr>
        <sz val="10"/>
        <rFont val="Arial"/>
        <family val="2"/>
      </rPr>
      <t>Effizienzsteigerung durch den Einsatz eines Schnittholzrechens =&gt; Faktor 3</t>
    </r>
  </si>
  <si>
    <r>
      <rPr>
        <vertAlign val="superscript"/>
        <sz val="10"/>
        <rFont val="Arial"/>
        <family val="2"/>
      </rPr>
      <t xml:space="preserve">5 </t>
    </r>
    <r>
      <rPr>
        <sz val="10"/>
        <rFont val="Arial"/>
        <family val="2"/>
      </rPr>
      <t>Effizienzsteigerung durch den Einsatz eines Baumschüttlers =&gt; Faktor 10</t>
    </r>
  </si>
  <si>
    <r>
      <rPr>
        <vertAlign val="superscript"/>
        <sz val="10"/>
        <rFont val="Arial"/>
        <family val="2"/>
      </rPr>
      <t xml:space="preserve">6 </t>
    </r>
    <r>
      <rPr>
        <sz val="10"/>
        <rFont val="Arial"/>
        <family val="2"/>
      </rPr>
      <t>Effizienzsteigerung durch den Einsatz einer Auflesemaschine =&gt; Faktor 7</t>
    </r>
  </si>
  <si>
    <r>
      <t xml:space="preserve">Winterschnitt </t>
    </r>
    <r>
      <rPr>
        <vertAlign val="superscript"/>
        <sz val="10"/>
        <rFont val="Arial"/>
        <family val="2"/>
      </rPr>
      <t>3</t>
    </r>
  </si>
  <si>
    <r>
      <rPr>
        <vertAlign val="superscript"/>
        <sz val="10"/>
        <rFont val="Arial"/>
        <family val="2"/>
      </rPr>
      <t xml:space="preserve">1 2 3 4 5 6 </t>
    </r>
    <r>
      <rPr>
        <sz val="10"/>
        <rFont val="Arial"/>
        <family val="2"/>
      </rPr>
      <t>Legende siehe Blatt "Aufbauphase"</t>
    </r>
  </si>
  <si>
    <t>Agraffen</t>
  </si>
  <si>
    <t>Hochstammbeitrag</t>
  </si>
  <si>
    <t>Schachtel 0.5 kg</t>
  </si>
  <si>
    <t>Materialien zur Erstellung QII</t>
  </si>
  <si>
    <t>Pneuwagen, 2-achsig</t>
  </si>
  <si>
    <t>Durchgang</t>
  </si>
  <si>
    <t>Pflanzlochbohrer, Dreipunktanbau</t>
  </si>
  <si>
    <t>Traktor, 80 KW</t>
  </si>
  <si>
    <t>Traktor 80 KW</t>
  </si>
  <si>
    <t>Planung und Organisation</t>
  </si>
  <si>
    <t xml:space="preserve">Gerüst erstellen </t>
  </si>
  <si>
    <t>Fungizid Kupfer (Aerone WG)</t>
  </si>
  <si>
    <t>Kupfer (Aerone WG) (kg)</t>
  </si>
  <si>
    <t>Schwefel (Stullin) (kg)</t>
  </si>
  <si>
    <t>Fungizid Schwefel (Stullin)</t>
  </si>
  <si>
    <t>Tonerde (Myco-Sin) (kg)</t>
  </si>
  <si>
    <t>Fungizid Tonerde (Myco-Sin)</t>
  </si>
  <si>
    <t>Granulosevirus (l)</t>
  </si>
  <si>
    <t>Liter</t>
  </si>
  <si>
    <t>l</t>
  </si>
  <si>
    <t>Insektizid Granulosevirus (Madex)</t>
  </si>
  <si>
    <t>Weiterbildung (Biohochstammgruppe usw.) (Std)</t>
  </si>
  <si>
    <t>Durchschnitt Jahr 1-15</t>
  </si>
  <si>
    <t>Vollertrag Jahr 16-50</t>
  </si>
  <si>
    <r>
      <t>Miststreuer um 8 m</t>
    </r>
    <r>
      <rPr>
        <vertAlign val="superscript"/>
        <sz val="10"/>
        <rFont val="Arial"/>
        <family val="2"/>
      </rPr>
      <t>3</t>
    </r>
  </si>
  <si>
    <t>Anhängegebläsespritze</t>
  </si>
  <si>
    <t>Anhänger 1-achsig, 7t, hydraulisch kippbar</t>
  </si>
  <si>
    <t>Arbeitslift (mit Anteil Schere/Kettensäge)</t>
  </si>
  <si>
    <t>Aufsitz-Mostobstauflesemasch, 1.5 t/Std., 11 kW</t>
  </si>
  <si>
    <t>Schlegelmulcher Front od. Heck, 1,75–2m</t>
  </si>
  <si>
    <t>Traktor 80 kW</t>
  </si>
  <si>
    <t>Betrag/Baum</t>
  </si>
  <si>
    <t>Prozent betroffene Bäume</t>
  </si>
  <si>
    <r>
      <rPr>
        <sz val="10"/>
        <rFont val="Calibri"/>
        <family val="2"/>
      </rPr>
      <t>Ø</t>
    </r>
    <r>
      <rPr>
        <sz val="10"/>
        <rFont val="Arial"/>
        <family val="2"/>
      </rPr>
      <t xml:space="preserve"> Betrag/Baum</t>
    </r>
  </si>
  <si>
    <t>Typ DZV Beitrag</t>
  </si>
  <si>
    <t>Insektizid Granulosevirus (l)</t>
  </si>
  <si>
    <t xml:space="preserve">Baumvolumenfaktor </t>
  </si>
  <si>
    <t>Baumschüttler,hydraulisch angetrieben, Drei-punktanbau</t>
  </si>
  <si>
    <t>Arbeitslift</t>
  </si>
  <si>
    <t>Variante mechanisiert, DZV Beiträge (QII + Vernetzung), Mostpäpfel, Bio Knospe</t>
  </si>
  <si>
    <r>
      <t>Obstgärten (&gt; 150 B./ha)</t>
    </r>
    <r>
      <rPr>
        <vertAlign val="superscript"/>
        <sz val="10"/>
        <rFont val="Arial"/>
        <family val="2"/>
      </rPr>
      <t xml:space="preserve"> 1</t>
    </r>
  </si>
  <si>
    <r>
      <rPr>
        <vertAlign val="superscript"/>
        <sz val="10"/>
        <rFont val="Arial"/>
        <family val="2"/>
      </rPr>
      <t>1</t>
    </r>
    <r>
      <rPr>
        <sz val="10"/>
        <rFont val="Arial"/>
        <family val="2"/>
      </rPr>
      <t xml:space="preserve"> DZV Beiträge/Baum: Beitrag Fr. 10.- im Kt. ZH (Obstgärten &gt; 150 B./ha) für mehr als 150 Bäume</t>
    </r>
  </si>
  <si>
    <t>zum Hochstammerkblatt "Biologischer Obstbau auf Hochstämmen"</t>
  </si>
  <si>
    <t xml:space="preserve">Modellrechnungen Biohochstamm Mostäpfel
</t>
  </si>
  <si>
    <t>Passen Sie im Beiblatt «Kosten» die betriebsspezifisch anfallenden Preise an.</t>
  </si>
  <si>
    <t>Nun können Sie die Blätter «Erstellung», «Aufbauphase», «Obstanlagewert nach Aufbauphase» und «Ertragsphase» mit Ihren betriebsspezifischen Angaben versehen.</t>
  </si>
  <si>
    <t>5.</t>
  </si>
  <si>
    <t>Ihre Verbesserungsvorschläge interessieren uns!</t>
  </si>
  <si>
    <t xml:space="preserve">Wenn Sie beim Arbeiten mit der Excel-Datei Verbesserungsmöglichkeiten oder Fehler entdecken, so melden Sie diese bitte an: </t>
  </si>
  <si>
    <t xml:space="preserve">Thierry Suard </t>
  </si>
  <si>
    <t>FiBL Beratung</t>
  </si>
  <si>
    <t>thierry.suard@fibl.org</t>
  </si>
  <si>
    <t>Tel. 062 865 63 78</t>
  </si>
  <si>
    <r>
      <t xml:space="preserve">Die </t>
    </r>
    <r>
      <rPr>
        <b/>
        <sz val="10"/>
        <color indexed="52"/>
        <rFont val="Arial"/>
        <family val="2"/>
      </rPr>
      <t>orange hinterlegten Zellen</t>
    </r>
    <r>
      <rPr>
        <sz val="10"/>
        <rFont val="Arial"/>
        <family val="2"/>
      </rPr>
      <t xml:space="preserve"> können Sie mit Ihren betriebsspezifischen Daten versehen.</t>
    </r>
  </si>
  <si>
    <t>Letzte Aktualisierung der Modellrechnung : 2024</t>
  </si>
  <si>
    <t>Fungizid Schwefelkalk (Curatio)</t>
  </si>
  <si>
    <t>Fungizid Kalium-Bicarbonat</t>
  </si>
  <si>
    <t xml:space="preserve">Agraffen verzinkt 0.5 kg </t>
  </si>
  <si>
    <t>Einsaat Dauerwiese (UFA 440)</t>
  </si>
  <si>
    <t>Stammschutz anti-knabb, 1.2 m</t>
  </si>
  <si>
    <t>Weiterbildung (Biohochstammgruppe usw.) (Tage)</t>
  </si>
  <si>
    <t>Anhängegebläsespritze,  1000 l Fass</t>
  </si>
  <si>
    <t>Hektare</t>
  </si>
  <si>
    <t>Schlauchspritze Occasion,  1000 l Fass</t>
  </si>
  <si>
    <t>l/ha</t>
  </si>
  <si>
    <t xml:space="preserve">Fungizid  Kupfer (Aerone WG) </t>
  </si>
  <si>
    <t xml:space="preserve">              Schwefel (Stullin) </t>
  </si>
  <si>
    <t xml:space="preserve">              Tonerde (Myco-Sin) </t>
  </si>
  <si>
    <t xml:space="preserve">              Schwefelkalk (Curatio)</t>
  </si>
  <si>
    <t xml:space="preserve">              Kalium-Bicarbonat (Armicarb) </t>
  </si>
  <si>
    <t>Tage</t>
  </si>
  <si>
    <t>Analyse/Jahr</t>
  </si>
  <si>
    <t>t/ha</t>
  </si>
  <si>
    <t>Obst Sortieren mit Mostobstsortiermaschine (25000 kg)</t>
  </si>
  <si>
    <t>Das Programm rechnet jeweils die Gesamtergebnisse aus.</t>
  </si>
  <si>
    <r>
      <t xml:space="preserve">·  </t>
    </r>
    <r>
      <rPr>
        <sz val="11.5"/>
        <color indexed="8"/>
        <rFont val="Arial"/>
        <family val="2"/>
      </rPr>
      <t>Dem Empfänger ist die Weitergabe nur unter Angabe des Copyright erlaubt.</t>
    </r>
  </si>
  <si>
    <r>
      <t>·</t>
    </r>
    <r>
      <rPr>
        <sz val="11.5"/>
        <color indexed="8"/>
        <rFont val="Times New Roman"/>
        <family val="1"/>
      </rPr>
      <t>  </t>
    </r>
    <r>
      <rPr>
        <sz val="11.5"/>
        <color indexed="8"/>
        <rFont val="Arial"/>
        <family val="2"/>
      </rPr>
      <t>Die Copyright Angaben dürfen nicht gelöscht werden.</t>
    </r>
  </si>
  <si>
    <r>
      <t xml:space="preserve">Auf allen Blättern können Sie die Angaben in den </t>
    </r>
    <r>
      <rPr>
        <b/>
        <sz val="11.5"/>
        <color indexed="52"/>
        <rFont val="Arial"/>
        <family val="2"/>
      </rPr>
      <t>orange hinterlegten Zellen</t>
    </r>
    <r>
      <rPr>
        <sz val="11.5"/>
        <color indexed="8"/>
        <rFont val="Arial"/>
        <family val="2"/>
      </rPr>
      <t xml:space="preserve"> mit eigenen, betriebspezifischen Daten ersetzen.</t>
    </r>
  </si>
  <si>
    <t>Anz.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</si>
</sst>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3" x14ac:knownFonts="1">
    <font>
      <sz val="10"/>
      <name val="Arial"/>
      <family val="2"/>
    </font>
    <font>
      <sz val="9"/>
      <name val="Arial"/>
      <family val="2"/>
    </font>
    <font>
      <sz val="14"/>
      <name val="Arial"/>
      <family val="2"/>
    </font>
    <font>
      <b/>
      <sz val="10"/>
      <name val="Arial"/>
      <family val="2"/>
    </font>
    <font>
      <b/>
      <i/>
      <sz val="10"/>
      <name val="Arial"/>
      <family val="2"/>
    </font>
    <font>
      <sz val="10"/>
      <color indexed="53"/>
      <name val="Arial"/>
      <family val="2"/>
    </font>
    <font>
      <sz val="8"/>
      <name val="Arial"/>
      <family val="2"/>
    </font>
    <font>
      <sz val="10"/>
      <color indexed="8"/>
      <name val="Arial"/>
      <family val="2"/>
    </font>
    <font>
      <sz val="10"/>
      <name val="Arial"/>
      <family val="2"/>
    </font>
    <font>
      <i/>
      <sz val="10"/>
      <name val="Arial"/>
      <family val="2"/>
    </font>
    <font>
      <sz val="12"/>
      <color indexed="8"/>
      <name val="Arial"/>
      <family val="2"/>
    </font>
    <font>
      <sz val="12"/>
      <name val="Arial"/>
      <family val="2"/>
    </font>
    <font>
      <b/>
      <sz val="12"/>
      <color indexed="8"/>
      <name val="Arial"/>
      <family val="2"/>
    </font>
    <font>
      <vertAlign val="superscript"/>
      <sz val="10"/>
      <name val="Arial"/>
      <family val="2"/>
    </font>
    <font>
      <b/>
      <sz val="26"/>
      <name val="Arial"/>
      <family val="2"/>
    </font>
    <font>
      <b/>
      <sz val="14"/>
      <name val="Arial"/>
      <family val="2"/>
    </font>
    <font>
      <b/>
      <sz val="14"/>
      <color indexed="8"/>
      <name val="Arial"/>
      <family val="2"/>
    </font>
    <font>
      <sz val="10"/>
      <color rgb="FFFF0000"/>
      <name val="Arial"/>
      <family val="2"/>
    </font>
    <font>
      <sz val="10"/>
      <color rgb="FF7030A0"/>
      <name val="Arial"/>
      <family val="2"/>
    </font>
    <font>
      <sz val="10"/>
      <name val="Calibri"/>
      <family val="2"/>
    </font>
    <font>
      <sz val="9"/>
      <color indexed="81"/>
      <name val="Segoe UI"/>
      <family val="2"/>
    </font>
    <font>
      <b/>
      <sz val="9"/>
      <color indexed="81"/>
      <name val="Segoe UI"/>
      <family val="2"/>
    </font>
    <font>
      <u/>
      <sz val="10"/>
      <color theme="10"/>
      <name val="Arial"/>
      <family val="2"/>
    </font>
    <font>
      <b/>
      <sz val="10"/>
      <color indexed="52"/>
      <name val="Arial"/>
      <family val="2"/>
    </font>
    <font>
      <sz val="9"/>
      <color indexed="81"/>
      <name val="Segoe UI"/>
      <charset val="1"/>
    </font>
    <font>
      <b/>
      <sz val="9"/>
      <color indexed="81"/>
      <name val="Segoe UI"/>
      <charset val="1"/>
    </font>
    <font>
      <sz val="11.5"/>
      <name val="Arial"/>
      <family val="2"/>
    </font>
    <font>
      <sz val="11.5"/>
      <color indexed="8"/>
      <name val="Arial"/>
      <family val="2"/>
    </font>
    <font>
      <sz val="11.5"/>
      <color indexed="8"/>
      <name val="Symbol"/>
      <family val="1"/>
    </font>
    <font>
      <sz val="11.5"/>
      <color indexed="8"/>
      <name val="Times New Roman"/>
      <family val="1"/>
    </font>
    <font>
      <b/>
      <sz val="11.5"/>
      <color indexed="8"/>
      <name val="Arial"/>
      <family val="2"/>
    </font>
    <font>
      <b/>
      <sz val="11.5"/>
      <color indexed="52"/>
      <name val="Arial"/>
      <family val="2"/>
    </font>
    <font>
      <u/>
      <sz val="11.5"/>
      <color indexed="12"/>
      <name val="Arial"/>
      <family val="2"/>
    </font>
  </fonts>
  <fills count="12">
    <fill>
      <patternFill patternType="none"/>
    </fill>
    <fill>
      <patternFill patternType="gray125"/>
    </fill>
    <fill>
      <patternFill patternType="solid">
        <fgColor indexed="44"/>
        <bgColor indexed="31"/>
      </patternFill>
    </fill>
    <fill>
      <patternFill patternType="solid">
        <fgColor indexed="42"/>
        <bgColor indexed="41"/>
      </patternFill>
    </fill>
    <fill>
      <patternFill patternType="solid">
        <fgColor indexed="27"/>
        <bgColor indexed="31"/>
      </patternFill>
    </fill>
    <fill>
      <patternFill patternType="solid">
        <fgColor indexed="45"/>
        <bgColor indexed="29"/>
      </patternFill>
    </fill>
    <fill>
      <patternFill patternType="solid">
        <fgColor indexed="43"/>
        <bgColor indexed="26"/>
      </patternFill>
    </fill>
    <fill>
      <patternFill patternType="solid">
        <fgColor rgb="FFFF9966"/>
        <bgColor indexed="41"/>
      </patternFill>
    </fill>
    <fill>
      <patternFill patternType="solid">
        <fgColor theme="0"/>
        <bgColor indexed="41"/>
      </patternFill>
    </fill>
    <fill>
      <patternFill patternType="solid">
        <fgColor theme="0" tint="-0.14999847407452621"/>
        <bgColor indexed="64"/>
      </patternFill>
    </fill>
    <fill>
      <patternFill patternType="solid">
        <fgColor theme="0"/>
        <bgColor indexed="26"/>
      </patternFill>
    </fill>
    <fill>
      <patternFill patternType="solid">
        <fgColor theme="6" tint="0.39997558519241921"/>
        <bgColor indexed="29"/>
      </patternFill>
    </fill>
  </fills>
  <borders count="18">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diagonal/>
    </border>
    <border>
      <left style="medium">
        <color indexed="9"/>
      </left>
      <right style="medium">
        <color indexed="9"/>
      </right>
      <top/>
      <bottom/>
      <diagonal/>
    </border>
    <border>
      <left/>
      <right style="medium">
        <color indexed="9"/>
      </right>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diagonal/>
    </border>
    <border>
      <left style="medium">
        <color theme="0"/>
      </left>
      <right/>
      <top style="medium">
        <color theme="0"/>
      </top>
      <bottom/>
      <diagonal/>
    </border>
  </borders>
  <cellStyleXfs count="5">
    <xf numFmtId="0" fontId="0" fillId="0" borderId="0"/>
    <xf numFmtId="0" fontId="2" fillId="0" borderId="0"/>
    <xf numFmtId="0" fontId="1" fillId="0" borderId="0">
      <protection locked="0"/>
    </xf>
    <xf numFmtId="0" fontId="8" fillId="0" borderId="0" applyNumberFormat="0" applyBorder="0" applyAlignment="0" applyProtection="0"/>
    <xf numFmtId="0" fontId="22" fillId="0" borderId="0" applyNumberFormat="0" applyFill="0" applyBorder="0" applyAlignment="0" applyProtection="0"/>
  </cellStyleXfs>
  <cellXfs count="176">
    <xf numFmtId="0" fontId="0" fillId="0" borderId="0" xfId="0"/>
    <xf numFmtId="2" fontId="0" fillId="0" borderId="0" xfId="0" applyNumberFormat="1"/>
    <xf numFmtId="4" fontId="0" fillId="0" borderId="0" xfId="0" applyNumberFormat="1"/>
    <xf numFmtId="0" fontId="0" fillId="0" borderId="0" xfId="0" applyFont="1" applyFill="1"/>
    <xf numFmtId="1" fontId="0" fillId="0" borderId="0" xfId="0" applyNumberFormat="1"/>
    <xf numFmtId="4" fontId="0" fillId="0" borderId="0" xfId="0" applyNumberFormat="1" applyFill="1"/>
    <xf numFmtId="0" fontId="5" fillId="0" borderId="0" xfId="0" applyFont="1"/>
    <xf numFmtId="0" fontId="0" fillId="0" borderId="0" xfId="0" applyFill="1"/>
    <xf numFmtId="0" fontId="9" fillId="0" borderId="0" xfId="0" applyFont="1"/>
    <xf numFmtId="2" fontId="0" fillId="0" borderId="0" xfId="0" applyNumberFormat="1" applyFill="1"/>
    <xf numFmtId="0" fontId="3" fillId="0" borderId="0" xfId="0" applyFont="1" applyFill="1"/>
    <xf numFmtId="0" fontId="0" fillId="0" borderId="0" xfId="0" applyFont="1"/>
    <xf numFmtId="0" fontId="0" fillId="7" borderId="0" xfId="0" applyFill="1" applyAlignment="1">
      <alignment vertical="center"/>
    </xf>
    <xf numFmtId="0" fontId="0" fillId="2" borderId="1" xfId="0" applyFill="1" applyBorder="1" applyAlignment="1">
      <alignment vertical="center"/>
    </xf>
    <xf numFmtId="0" fontId="0" fillId="2" borderId="1" xfId="0" applyFill="1" applyBorder="1" applyAlignment="1">
      <alignment horizontal="right" vertical="center" wrapText="1"/>
    </xf>
    <xf numFmtId="2" fontId="0" fillId="2" borderId="1" xfId="0" applyNumberFormat="1" applyFont="1" applyFill="1" applyBorder="1" applyAlignment="1">
      <alignment horizontal="right" vertical="center" wrapText="1"/>
    </xf>
    <xf numFmtId="4" fontId="0" fillId="2" borderId="1" xfId="0" applyNumberFormat="1" applyFont="1" applyFill="1" applyBorder="1" applyAlignment="1">
      <alignment horizontal="right" vertical="center" wrapText="1"/>
    </xf>
    <xf numFmtId="0" fontId="0" fillId="0" borderId="0" xfId="0" applyAlignment="1">
      <alignment vertical="center"/>
    </xf>
    <xf numFmtId="1" fontId="0" fillId="7" borderId="1" xfId="0" applyNumberFormat="1" applyFill="1" applyBorder="1" applyAlignment="1">
      <alignment vertical="center"/>
    </xf>
    <xf numFmtId="2" fontId="0" fillId="3" borderId="1" xfId="0" applyNumberFormat="1" applyFill="1" applyBorder="1" applyAlignment="1">
      <alignment vertical="center"/>
    </xf>
    <xf numFmtId="3" fontId="0" fillId="3" borderId="1" xfId="0" applyNumberFormat="1" applyFill="1" applyBorder="1" applyAlignment="1">
      <alignment vertical="center"/>
    </xf>
    <xf numFmtId="0" fontId="0" fillId="3" borderId="1" xfId="0" applyFill="1" applyBorder="1" applyAlignment="1">
      <alignment vertical="center"/>
    </xf>
    <xf numFmtId="0" fontId="0" fillId="7" borderId="1" xfId="0" applyFill="1" applyBorder="1" applyAlignment="1">
      <alignment vertical="center"/>
    </xf>
    <xf numFmtId="0" fontId="0" fillId="3" borderId="2" xfId="0" applyFill="1" applyBorder="1" applyAlignment="1">
      <alignment vertical="center"/>
    </xf>
    <xf numFmtId="2" fontId="0" fillId="3" borderId="2" xfId="0" applyNumberFormat="1" applyFill="1" applyBorder="1" applyAlignment="1">
      <alignment vertical="center"/>
    </xf>
    <xf numFmtId="0" fontId="0" fillId="7" borderId="2" xfId="0" applyFill="1" applyBorder="1" applyAlignment="1">
      <alignment vertical="center"/>
    </xf>
    <xf numFmtId="3" fontId="0" fillId="3" borderId="2" xfId="0" applyNumberFormat="1" applyFill="1" applyBorder="1" applyAlignment="1">
      <alignment vertical="center"/>
    </xf>
    <xf numFmtId="0" fontId="3" fillId="4" borderId="1" xfId="0" applyFont="1" applyFill="1" applyBorder="1" applyAlignment="1">
      <alignment vertical="center"/>
    </xf>
    <xf numFmtId="2" fontId="3" fillId="4" borderId="1" xfId="0" applyNumberFormat="1" applyFont="1" applyFill="1" applyBorder="1" applyAlignment="1">
      <alignment vertical="center"/>
    </xf>
    <xf numFmtId="3" fontId="3" fillId="4" borderId="1" xfId="0" applyNumberFormat="1" applyFont="1" applyFill="1" applyBorder="1" applyAlignment="1">
      <alignment vertical="center"/>
    </xf>
    <xf numFmtId="0" fontId="0" fillId="3" borderId="3" xfId="0" applyFill="1" applyBorder="1" applyAlignment="1">
      <alignment vertical="center"/>
    </xf>
    <xf numFmtId="2" fontId="0" fillId="3" borderId="3" xfId="0" applyNumberFormat="1" applyFill="1" applyBorder="1" applyAlignment="1">
      <alignment vertical="center"/>
    </xf>
    <xf numFmtId="3" fontId="0" fillId="3" borderId="3" xfId="0" applyNumberFormat="1" applyFill="1" applyBorder="1" applyAlignment="1">
      <alignment vertical="center"/>
    </xf>
    <xf numFmtId="0" fontId="0" fillId="3" borderId="4" xfId="0" applyFont="1" applyFill="1" applyBorder="1" applyAlignment="1">
      <alignment vertical="center"/>
    </xf>
    <xf numFmtId="0" fontId="0" fillId="3" borderId="5" xfId="0" applyFill="1" applyBorder="1" applyAlignment="1">
      <alignment vertical="center"/>
    </xf>
    <xf numFmtId="3" fontId="7" fillId="3" borderId="1" xfId="0" applyNumberFormat="1" applyFont="1" applyFill="1" applyBorder="1" applyAlignment="1">
      <alignment vertical="center"/>
    </xf>
    <xf numFmtId="0" fontId="0" fillId="0" borderId="0" xfId="0" applyFill="1" applyBorder="1" applyAlignment="1">
      <alignment vertical="center"/>
    </xf>
    <xf numFmtId="2" fontId="0" fillId="3" borderId="4" xfId="0" applyNumberFormat="1" applyFill="1" applyBorder="1" applyAlignment="1">
      <alignment vertical="center"/>
    </xf>
    <xf numFmtId="0" fontId="3" fillId="4" borderId="0" xfId="0" applyFont="1" applyFill="1" applyAlignment="1">
      <alignment vertical="center"/>
    </xf>
    <xf numFmtId="0" fontId="3" fillId="2" borderId="1" xfId="0" applyFont="1" applyFill="1" applyBorder="1" applyAlignment="1">
      <alignment vertical="center"/>
    </xf>
    <xf numFmtId="2" fontId="3" fillId="2" borderId="1" xfId="0" applyNumberFormat="1" applyFont="1" applyFill="1" applyBorder="1" applyAlignment="1">
      <alignment vertical="center"/>
    </xf>
    <xf numFmtId="3" fontId="3" fillId="2" borderId="1" xfId="0" applyNumberFormat="1" applyFont="1" applyFill="1" applyBorder="1" applyAlignment="1">
      <alignment vertical="center"/>
    </xf>
    <xf numFmtId="2" fontId="0" fillId="0" borderId="0" xfId="0" applyNumberFormat="1" applyAlignment="1">
      <alignment vertical="center"/>
    </xf>
    <xf numFmtId="4" fontId="0" fillId="0" borderId="0" xfId="0" applyNumberFormat="1" applyAlignment="1">
      <alignment vertical="center"/>
    </xf>
    <xf numFmtId="0" fontId="0" fillId="2" borderId="1" xfId="0" applyFill="1" applyBorder="1" applyAlignment="1">
      <alignment horizontal="right" vertical="center"/>
    </xf>
    <xf numFmtId="3" fontId="0" fillId="2" borderId="1" xfId="0" applyNumberFormat="1" applyFill="1" applyBorder="1" applyAlignment="1">
      <alignment horizontal="right" vertical="center" wrapText="1"/>
    </xf>
    <xf numFmtId="0" fontId="0" fillId="0" borderId="0" xfId="0" applyFont="1" applyFill="1" applyAlignment="1">
      <alignment vertical="center"/>
    </xf>
    <xf numFmtId="0" fontId="0" fillId="0" borderId="0" xfId="0" applyFill="1" applyAlignment="1">
      <alignment vertical="center"/>
    </xf>
    <xf numFmtId="9" fontId="0" fillId="0" borderId="0" xfId="0" applyNumberFormat="1" applyAlignment="1">
      <alignment vertical="center"/>
    </xf>
    <xf numFmtId="4" fontId="0" fillId="3" borderId="1" xfId="0" applyNumberFormat="1" applyFill="1" applyBorder="1" applyAlignment="1">
      <alignment vertical="center"/>
    </xf>
    <xf numFmtId="0" fontId="0" fillId="4" borderId="0" xfId="0" applyFont="1" applyFill="1" applyAlignment="1">
      <alignment vertical="center"/>
    </xf>
    <xf numFmtId="2" fontId="0" fillId="4" borderId="0" xfId="0" applyNumberFormat="1" applyFill="1" applyAlignment="1">
      <alignment vertical="center"/>
    </xf>
    <xf numFmtId="3" fontId="0" fillId="4" borderId="0" xfId="0" applyNumberFormat="1" applyFill="1" applyAlignment="1">
      <alignment vertical="center"/>
    </xf>
    <xf numFmtId="3" fontId="0" fillId="0" borderId="0" xfId="0" applyNumberFormat="1" applyAlignment="1">
      <alignment vertical="center"/>
    </xf>
    <xf numFmtId="0" fontId="0" fillId="3" borderId="6" xfId="0" applyFill="1" applyBorder="1" applyAlignment="1">
      <alignment vertical="center"/>
    </xf>
    <xf numFmtId="0" fontId="0" fillId="3" borderId="0" xfId="0" applyFont="1" applyFill="1" applyBorder="1" applyAlignment="1">
      <alignment vertical="center"/>
    </xf>
    <xf numFmtId="0" fontId="0" fillId="3" borderId="1" xfId="0" applyFill="1" applyBorder="1" applyAlignment="1">
      <alignment horizontal="center" vertical="center"/>
    </xf>
    <xf numFmtId="0" fontId="0" fillId="4" borderId="1" xfId="0" applyFont="1" applyFill="1" applyBorder="1" applyAlignment="1">
      <alignment vertical="center"/>
    </xf>
    <xf numFmtId="2" fontId="0" fillId="4" borderId="1" xfId="0" applyNumberFormat="1" applyFill="1" applyBorder="1" applyAlignment="1">
      <alignment vertical="center"/>
    </xf>
    <xf numFmtId="3" fontId="0" fillId="4" borderId="1" xfId="0" applyNumberFormat="1" applyFill="1" applyBorder="1" applyAlignment="1">
      <alignment vertical="center"/>
    </xf>
    <xf numFmtId="2" fontId="0" fillId="2" borderId="1" xfId="0" applyNumberFormat="1" applyFont="1" applyFill="1" applyBorder="1" applyAlignment="1">
      <alignment vertical="center"/>
    </xf>
    <xf numFmtId="3" fontId="0" fillId="2" borderId="1" xfId="0" applyNumberFormat="1" applyFont="1" applyFill="1" applyBorder="1" applyAlignment="1">
      <alignment vertical="center"/>
    </xf>
    <xf numFmtId="1" fontId="0" fillId="0" borderId="0" xfId="0" applyNumberFormat="1" applyAlignment="1">
      <alignment vertical="center"/>
    </xf>
    <xf numFmtId="1" fontId="0" fillId="2" borderId="1" xfId="0" applyNumberFormat="1" applyFont="1" applyFill="1" applyBorder="1" applyAlignment="1">
      <alignment horizontal="right" vertical="center" wrapText="1"/>
    </xf>
    <xf numFmtId="2" fontId="7" fillId="3" borderId="1" xfId="0" applyNumberFormat="1" applyFont="1" applyFill="1" applyBorder="1" applyAlignment="1">
      <alignment vertical="center"/>
    </xf>
    <xf numFmtId="164" fontId="7" fillId="3" borderId="1" xfId="0" applyNumberFormat="1" applyFont="1" applyFill="1" applyBorder="1" applyAlignment="1">
      <alignment vertical="center"/>
    </xf>
    <xf numFmtId="4" fontId="7" fillId="3" borderId="1" xfId="0" applyNumberFormat="1" applyFont="1" applyFill="1" applyBorder="1" applyAlignment="1">
      <alignment vertical="center"/>
    </xf>
    <xf numFmtId="0" fontId="0" fillId="5" borderId="1" xfId="0" applyFill="1" applyBorder="1" applyAlignment="1">
      <alignment vertical="center"/>
    </xf>
    <xf numFmtId="0" fontId="9" fillId="0" borderId="0" xfId="0" applyFont="1" applyAlignment="1">
      <alignment vertical="center"/>
    </xf>
    <xf numFmtId="4" fontId="0" fillId="7" borderId="9" xfId="0" applyNumberFormat="1" applyFill="1" applyBorder="1" applyAlignment="1">
      <alignment vertical="center"/>
    </xf>
    <xf numFmtId="4" fontId="0" fillId="7" borderId="10" xfId="0" applyNumberFormat="1" applyFill="1" applyBorder="1" applyAlignment="1">
      <alignment vertical="center"/>
    </xf>
    <xf numFmtId="4" fontId="0" fillId="7" borderId="11" xfId="0" applyNumberFormat="1" applyFill="1" applyBorder="1" applyAlignment="1">
      <alignment vertical="center"/>
    </xf>
    <xf numFmtId="0" fontId="0" fillId="0" borderId="0" xfId="0" applyFill="1" applyBorder="1" applyAlignment="1">
      <alignment horizontal="center" vertical="center"/>
    </xf>
    <xf numFmtId="0" fontId="0" fillId="5" borderId="0" xfId="0" applyFill="1" applyAlignment="1">
      <alignment vertical="center"/>
    </xf>
    <xf numFmtId="3" fontId="0" fillId="5" borderId="0" xfId="0" applyNumberFormat="1" applyFill="1" applyAlignment="1">
      <alignment vertical="center"/>
    </xf>
    <xf numFmtId="2" fontId="0" fillId="5" borderId="0" xfId="0" applyNumberFormat="1" applyFill="1" applyAlignment="1">
      <alignment vertical="center"/>
    </xf>
    <xf numFmtId="0" fontId="4" fillId="0" borderId="0" xfId="0" applyFont="1" applyFill="1" applyAlignment="1">
      <alignment vertical="center"/>
    </xf>
    <xf numFmtId="3" fontId="0" fillId="0" borderId="0" xfId="0" applyNumberFormat="1" applyFill="1" applyAlignment="1">
      <alignment vertical="center"/>
    </xf>
    <xf numFmtId="0" fontId="0" fillId="3" borderId="0" xfId="0" applyFill="1" applyAlignment="1">
      <alignment vertical="center"/>
    </xf>
    <xf numFmtId="0" fontId="0" fillId="3" borderId="0" xfId="0" applyFont="1" applyFill="1" applyAlignment="1">
      <alignment vertical="center"/>
    </xf>
    <xf numFmtId="0" fontId="4" fillId="0" borderId="0" xfId="0" applyFont="1" applyAlignment="1">
      <alignment vertical="center"/>
    </xf>
    <xf numFmtId="3" fontId="4" fillId="0" borderId="0" xfId="0" applyNumberFormat="1" applyFont="1" applyAlignment="1">
      <alignment vertical="center"/>
    </xf>
    <xf numFmtId="0" fontId="3" fillId="3" borderId="6" xfId="0" applyFont="1" applyFill="1" applyBorder="1" applyAlignment="1">
      <alignment vertical="center"/>
    </xf>
    <xf numFmtId="4" fontId="3" fillId="3" borderId="2" xfId="0" applyNumberFormat="1" applyFont="1" applyFill="1" applyBorder="1" applyAlignment="1">
      <alignment vertical="center"/>
    </xf>
    <xf numFmtId="3" fontId="3" fillId="3" borderId="2" xfId="0" applyNumberFormat="1" applyFont="1" applyFill="1" applyBorder="1" applyAlignment="1">
      <alignment vertical="center"/>
    </xf>
    <xf numFmtId="2" fontId="0" fillId="3" borderId="6" xfId="0" applyNumberFormat="1" applyFont="1" applyFill="1" applyBorder="1" applyAlignment="1">
      <alignment vertical="center"/>
    </xf>
    <xf numFmtId="4" fontId="7" fillId="3" borderId="2" xfId="0" applyNumberFormat="1" applyFont="1" applyFill="1" applyBorder="1" applyAlignment="1">
      <alignment vertical="center"/>
    </xf>
    <xf numFmtId="0" fontId="0" fillId="7" borderId="1" xfId="0" applyFont="1" applyFill="1" applyBorder="1" applyAlignment="1">
      <alignment vertical="center"/>
    </xf>
    <xf numFmtId="4" fontId="0" fillId="3" borderId="1" xfId="0" applyNumberFormat="1" applyFont="1" applyFill="1" applyBorder="1" applyAlignment="1">
      <alignment vertical="center"/>
    </xf>
    <xf numFmtId="3" fontId="3" fillId="3" borderId="1" xfId="0" applyNumberFormat="1" applyFont="1" applyFill="1" applyBorder="1" applyAlignment="1">
      <alignment vertical="center"/>
    </xf>
    <xf numFmtId="4" fontId="4" fillId="0" borderId="0" xfId="0" applyNumberFormat="1" applyFont="1" applyAlignment="1">
      <alignment vertical="center"/>
    </xf>
    <xf numFmtId="0" fontId="3" fillId="3" borderId="0" xfId="0" applyFont="1" applyFill="1" applyAlignment="1">
      <alignment vertical="center"/>
    </xf>
    <xf numFmtId="1" fontId="0" fillId="3" borderId="1" xfId="0" applyNumberFormat="1" applyFont="1" applyFill="1" applyBorder="1" applyAlignment="1">
      <alignment vertical="center"/>
    </xf>
    <xf numFmtId="0" fontId="0" fillId="3" borderId="1" xfId="0" applyFont="1" applyFill="1" applyBorder="1" applyAlignment="1">
      <alignment vertical="center"/>
    </xf>
    <xf numFmtId="4" fontId="0" fillId="0" borderId="0" xfId="0" applyNumberFormat="1" applyFill="1" applyBorder="1" applyAlignment="1">
      <alignment vertical="center"/>
    </xf>
    <xf numFmtId="3" fontId="3" fillId="0" borderId="0" xfId="0" applyNumberFormat="1" applyFont="1" applyFill="1" applyBorder="1" applyAlignment="1">
      <alignment vertical="center"/>
    </xf>
    <xf numFmtId="0" fontId="3" fillId="3" borderId="1" xfId="0" applyFont="1" applyFill="1" applyBorder="1" applyAlignment="1">
      <alignment vertical="center"/>
    </xf>
    <xf numFmtId="0" fontId="0" fillId="2" borderId="0" xfId="0" applyFont="1" applyFill="1" applyAlignment="1">
      <alignment vertical="center"/>
    </xf>
    <xf numFmtId="3" fontId="0" fillId="2" borderId="0" xfId="0" applyNumberFormat="1" applyFont="1" applyFill="1" applyAlignment="1">
      <alignment vertical="center"/>
    </xf>
    <xf numFmtId="4" fontId="0" fillId="2" borderId="0" xfId="0" applyNumberFormat="1" applyFont="1" applyFill="1" applyAlignment="1">
      <alignment vertical="center"/>
    </xf>
    <xf numFmtId="0" fontId="4" fillId="2" borderId="0" xfId="0" applyFont="1" applyFill="1" applyAlignment="1">
      <alignment vertical="center"/>
    </xf>
    <xf numFmtId="4" fontId="4" fillId="2" borderId="0" xfId="0" applyNumberFormat="1" applyFont="1" applyFill="1" applyAlignment="1">
      <alignment vertical="center"/>
    </xf>
    <xf numFmtId="3" fontId="4" fillId="2" borderId="0" xfId="0" applyNumberFormat="1" applyFont="1" applyFill="1" applyAlignment="1">
      <alignment vertical="center"/>
    </xf>
    <xf numFmtId="0" fontId="3" fillId="5" borderId="1" xfId="0" applyFont="1" applyFill="1" applyBorder="1" applyAlignment="1">
      <alignment vertical="center"/>
    </xf>
    <xf numFmtId="2" fontId="0" fillId="2" borderId="1" xfId="0" applyNumberFormat="1" applyFont="1" applyFill="1" applyBorder="1" applyAlignment="1">
      <alignment horizontal="right" vertical="center"/>
    </xf>
    <xf numFmtId="2" fontId="0" fillId="7" borderId="1" xfId="0" applyNumberFormat="1" applyFill="1" applyBorder="1" applyAlignment="1">
      <alignment vertical="center"/>
    </xf>
    <xf numFmtId="2" fontId="0" fillId="3" borderId="0" xfId="0" applyNumberFormat="1" applyFill="1" applyAlignment="1">
      <alignment vertical="center"/>
    </xf>
    <xf numFmtId="2" fontId="0" fillId="7" borderId="2" xfId="0" applyNumberFormat="1" applyFill="1" applyBorder="1" applyAlignment="1">
      <alignment vertical="center"/>
    </xf>
    <xf numFmtId="4" fontId="0" fillId="7" borderId="1" xfId="0" applyNumberFormat="1" applyFill="1" applyBorder="1" applyAlignment="1">
      <alignment vertical="center"/>
    </xf>
    <xf numFmtId="4" fontId="0" fillId="7" borderId="2" xfId="0" applyNumberFormat="1" applyFill="1" applyBorder="1" applyAlignment="1">
      <alignment vertical="center"/>
    </xf>
    <xf numFmtId="0" fontId="0" fillId="0" borderId="0" xfId="0" applyFont="1" applyFill="1" applyBorder="1" applyAlignment="1">
      <alignment vertical="center"/>
    </xf>
    <xf numFmtId="0" fontId="0" fillId="3" borderId="7" xfId="0" applyFill="1" applyBorder="1" applyAlignment="1">
      <alignment vertical="center"/>
    </xf>
    <xf numFmtId="0" fontId="0" fillId="3" borderId="7" xfId="0" quotePrefix="1" applyFill="1" applyBorder="1" applyAlignment="1">
      <alignment vertical="center"/>
    </xf>
    <xf numFmtId="4" fontId="7" fillId="7" borderId="2" xfId="0" applyNumberFormat="1" applyFont="1" applyFill="1" applyBorder="1" applyAlignment="1">
      <alignment vertical="center"/>
    </xf>
    <xf numFmtId="0" fontId="3" fillId="0" borderId="0" xfId="0" applyFont="1" applyFill="1" applyBorder="1" applyAlignment="1">
      <alignment vertical="center"/>
    </xf>
    <xf numFmtId="0" fontId="0" fillId="8" borderId="7" xfId="0" applyFill="1" applyBorder="1" applyAlignment="1">
      <alignment vertical="center"/>
    </xf>
    <xf numFmtId="2" fontId="0" fillId="0" borderId="0" xfId="0" quotePrefix="1" applyNumberFormat="1" applyAlignment="1">
      <alignment vertical="center"/>
    </xf>
    <xf numFmtId="4" fontId="7" fillId="7" borderId="1" xfId="0" applyNumberFormat="1" applyFont="1" applyFill="1" applyBorder="1" applyAlignment="1">
      <alignment vertical="center"/>
    </xf>
    <xf numFmtId="2" fontId="0" fillId="7" borderId="0" xfId="0" applyNumberFormat="1" applyFill="1" applyAlignment="1">
      <alignment vertical="center"/>
    </xf>
    <xf numFmtId="0" fontId="0" fillId="9" borderId="12" xfId="0" applyFill="1" applyBorder="1" applyAlignment="1">
      <alignment horizontal="right" vertical="center"/>
    </xf>
    <xf numFmtId="0" fontId="0" fillId="9" borderId="13" xfId="0" applyFill="1" applyBorder="1" applyAlignment="1">
      <alignment horizontal="right" vertical="center"/>
    </xf>
    <xf numFmtId="0" fontId="0" fillId="3" borderId="1" xfId="0" quotePrefix="1" applyFill="1" applyBorder="1" applyAlignment="1">
      <alignment vertical="center"/>
    </xf>
    <xf numFmtId="0" fontId="0" fillId="9" borderId="14" xfId="0" applyFill="1" applyBorder="1" applyAlignment="1">
      <alignment vertical="center"/>
    </xf>
    <xf numFmtId="0" fontId="0" fillId="9" borderId="15" xfId="0" applyFill="1" applyBorder="1" applyAlignment="1">
      <alignment vertical="center"/>
    </xf>
    <xf numFmtId="0" fontId="0" fillId="3" borderId="1" xfId="0" quotePrefix="1" applyFill="1" applyBorder="1" applyAlignment="1" applyProtection="1">
      <alignment vertical="center"/>
    </xf>
    <xf numFmtId="0" fontId="0" fillId="9" borderId="16" xfId="0" applyFill="1" applyBorder="1" applyAlignment="1">
      <alignment vertical="center"/>
    </xf>
    <xf numFmtId="0" fontId="0" fillId="9" borderId="17" xfId="0" applyFill="1" applyBorder="1" applyAlignment="1">
      <alignment vertical="center"/>
    </xf>
    <xf numFmtId="0" fontId="15" fillId="6" borderId="0" xfId="0" applyFont="1" applyFill="1" applyAlignment="1">
      <alignment vertical="center"/>
    </xf>
    <xf numFmtId="1" fontId="15" fillId="6" borderId="0" xfId="0" applyNumberFormat="1" applyFont="1" applyFill="1" applyAlignment="1">
      <alignment vertical="center"/>
    </xf>
    <xf numFmtId="0" fontId="15" fillId="0" borderId="0" xfId="0" applyFont="1" applyAlignment="1">
      <alignment vertical="center"/>
    </xf>
    <xf numFmtId="1" fontId="0" fillId="5" borderId="1" xfId="0" applyNumberFormat="1" applyFill="1" applyBorder="1" applyAlignment="1">
      <alignment vertical="center"/>
    </xf>
    <xf numFmtId="1" fontId="3" fillId="5" borderId="1" xfId="0" applyNumberFormat="1" applyFont="1" applyFill="1" applyBorder="1" applyAlignment="1">
      <alignment vertical="center"/>
    </xf>
    <xf numFmtId="0" fontId="17" fillId="0" borderId="0" xfId="0" applyFont="1"/>
    <xf numFmtId="0" fontId="0" fillId="0" borderId="0" xfId="0" applyAlignment="1">
      <alignment vertical="center" wrapText="1"/>
    </xf>
    <xf numFmtId="0" fontId="17" fillId="0" borderId="0" xfId="0" applyFont="1" applyFill="1"/>
    <xf numFmtId="3" fontId="17" fillId="0" borderId="0" xfId="0" applyNumberFormat="1" applyFont="1"/>
    <xf numFmtId="165" fontId="0" fillId="3" borderId="1" xfId="0" quotePrefix="1" applyNumberFormat="1" applyFill="1" applyBorder="1" applyAlignment="1" applyProtection="1">
      <alignment vertical="center"/>
    </xf>
    <xf numFmtId="0" fontId="18" fillId="0" borderId="0" xfId="0" applyFont="1"/>
    <xf numFmtId="9" fontId="0" fillId="7" borderId="9" xfId="0" applyNumberFormat="1" applyFill="1" applyBorder="1" applyAlignment="1">
      <alignment vertical="center"/>
    </xf>
    <xf numFmtId="9" fontId="0" fillId="7" borderId="10" xfId="0" applyNumberFormat="1" applyFill="1" applyBorder="1" applyAlignment="1">
      <alignment vertical="center"/>
    </xf>
    <xf numFmtId="9" fontId="0" fillId="7" borderId="11" xfId="0" applyNumberFormat="1" applyFill="1" applyBorder="1" applyAlignment="1">
      <alignment vertical="center"/>
    </xf>
    <xf numFmtId="0" fontId="3" fillId="0" borderId="0" xfId="0" applyFont="1" applyAlignment="1">
      <alignment vertical="center"/>
    </xf>
    <xf numFmtId="0" fontId="9" fillId="0" borderId="0" xfId="0" applyFont="1" applyAlignment="1">
      <alignment vertical="center" wrapText="1"/>
    </xf>
    <xf numFmtId="1" fontId="0" fillId="0" borderId="0" xfId="0" applyNumberFormat="1" applyAlignment="1">
      <alignment vertical="center" wrapText="1"/>
    </xf>
    <xf numFmtId="0" fontId="0" fillId="0" borderId="0" xfId="0" applyAlignment="1">
      <alignment wrapText="1"/>
    </xf>
    <xf numFmtId="0" fontId="0" fillId="2" borderId="1" xfId="0" applyFill="1" applyBorder="1" applyAlignment="1">
      <alignment vertical="center" wrapText="1"/>
    </xf>
    <xf numFmtId="0" fontId="0" fillId="7" borderId="0" xfId="0" applyFill="1" applyBorder="1" applyAlignment="1">
      <alignment vertical="center"/>
    </xf>
    <xf numFmtId="0" fontId="0" fillId="2" borderId="1" xfId="0" applyFill="1" applyBorder="1" applyAlignment="1">
      <alignment horizontal="left" vertical="center" wrapText="1"/>
    </xf>
    <xf numFmtId="4" fontId="3" fillId="0" borderId="0" xfId="0" applyNumberFormat="1" applyFont="1"/>
    <xf numFmtId="0" fontId="3" fillId="11" borderId="0" xfId="0" applyFont="1" applyFill="1" applyBorder="1" applyAlignment="1">
      <alignment vertical="center"/>
    </xf>
    <xf numFmtId="2" fontId="3" fillId="11" borderId="0" xfId="0" applyNumberFormat="1" applyFont="1" applyFill="1" applyBorder="1" applyAlignment="1">
      <alignment vertical="center"/>
    </xf>
    <xf numFmtId="0" fontId="11" fillId="0" borderId="0" xfId="0" applyFont="1" applyAlignment="1">
      <alignment horizontal="left"/>
    </xf>
    <xf numFmtId="0" fontId="10" fillId="0" borderId="0" xfId="0" applyFont="1" applyAlignment="1">
      <alignment horizontal="left" vertical="center" wrapText="1"/>
    </xf>
    <xf numFmtId="0" fontId="0" fillId="0" borderId="0" xfId="0" applyAlignment="1">
      <alignment horizontal="left"/>
    </xf>
    <xf numFmtId="0" fontId="26" fillId="0" borderId="0" xfId="0" applyFont="1"/>
    <xf numFmtId="49" fontId="30" fillId="0" borderId="0" xfId="0" applyNumberFormat="1" applyFont="1" applyAlignment="1">
      <alignment horizontal="left" vertical="top" wrapText="1"/>
    </xf>
    <xf numFmtId="0" fontId="26" fillId="0" borderId="0" xfId="0" applyFont="1" applyAlignment="1">
      <alignment horizontal="left" vertical="top" wrapText="1"/>
    </xf>
    <xf numFmtId="49" fontId="30" fillId="0" borderId="0" xfId="0" applyNumberFormat="1" applyFont="1" applyAlignment="1">
      <alignment vertical="top" wrapText="1"/>
    </xf>
    <xf numFmtId="49" fontId="27" fillId="0" borderId="0" xfId="0" applyNumberFormat="1" applyFont="1" applyAlignment="1">
      <alignment horizontal="left" vertical="top" wrapText="1"/>
    </xf>
    <xf numFmtId="0" fontId="27" fillId="0" borderId="0" xfId="0" applyFont="1" applyAlignment="1">
      <alignment horizontal="left" vertical="center" wrapText="1"/>
    </xf>
    <xf numFmtId="0" fontId="26" fillId="0" borderId="0" xfId="0" applyFont="1" applyAlignment="1">
      <alignment horizontal="left"/>
    </xf>
    <xf numFmtId="0" fontId="26" fillId="0" borderId="0" xfId="0" applyFont="1" applyAlignment="1">
      <alignment horizontal="left" vertical="center" wrapText="1"/>
    </xf>
    <xf numFmtId="0" fontId="26" fillId="0" borderId="0" xfId="0" applyFont="1" applyAlignment="1">
      <alignment horizontal="left"/>
    </xf>
    <xf numFmtId="0" fontId="32" fillId="0" borderId="0" xfId="4" applyFont="1" applyAlignment="1">
      <alignment horizontal="left" vertical="center" wrapText="1"/>
    </xf>
    <xf numFmtId="0" fontId="30" fillId="0" borderId="0" xfId="0" applyFont="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left" vertical="center" wrapText="1"/>
    </xf>
    <xf numFmtId="0" fontId="10" fillId="0" borderId="0" xfId="0" applyFont="1" applyAlignment="1">
      <alignment horizontal="left" vertical="center" wrapText="1"/>
    </xf>
    <xf numFmtId="0" fontId="15" fillId="6" borderId="0" xfId="0" applyFont="1" applyFill="1" applyBorder="1" applyAlignment="1">
      <alignment horizontal="left" vertical="center" wrapText="1"/>
    </xf>
    <xf numFmtId="0" fontId="28" fillId="0" borderId="0" xfId="0" applyFont="1" applyAlignment="1">
      <alignment horizontal="left" vertical="center" wrapText="1"/>
    </xf>
    <xf numFmtId="0" fontId="14" fillId="10" borderId="0" xfId="0" applyFont="1" applyFill="1" applyBorder="1" applyAlignment="1">
      <alignment horizontal="left" vertical="top" wrapText="1"/>
    </xf>
    <xf numFmtId="0" fontId="26" fillId="10" borderId="0" xfId="0" applyFont="1" applyFill="1" applyBorder="1" applyAlignment="1">
      <alignment horizontal="left" vertical="center" wrapText="1"/>
    </xf>
    <xf numFmtId="0" fontId="0" fillId="0" borderId="0" xfId="0" applyAlignment="1">
      <alignment horizontal="left"/>
    </xf>
    <xf numFmtId="0" fontId="15" fillId="6" borderId="0" xfId="0" applyFont="1" applyFill="1" applyAlignment="1">
      <alignment horizontal="left" vertical="center"/>
    </xf>
    <xf numFmtId="0" fontId="0" fillId="0" borderId="0" xfId="0" applyAlignment="1">
      <alignment vertical="center" wrapText="1"/>
    </xf>
    <xf numFmtId="0" fontId="0" fillId="0" borderId="8" xfId="0" applyBorder="1" applyAlignment="1">
      <alignment vertical="center" wrapText="1"/>
    </xf>
  </cellXfs>
  <cellStyles count="5">
    <cellStyle name="dbkatalog" xfId="1" xr:uid="{00000000-0005-0000-0000-000000000000}"/>
    <cellStyle name="DB-Katalog" xfId="2" xr:uid="{00000000-0005-0000-0000-000001000000}"/>
    <cellStyle name="Link" xfId="4" builtinId="8"/>
    <cellStyle name="Standard" xfId="0" builtinId="0"/>
    <cellStyle name="tes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E3E3E3"/>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420E"/>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199253</xdr:colOff>
      <xdr:row>5</xdr:row>
      <xdr:rowOff>107520</xdr:rowOff>
    </xdr:from>
    <xdr:to>
      <xdr:col>10</xdr:col>
      <xdr:colOff>615467</xdr:colOff>
      <xdr:row>11</xdr:row>
      <xdr:rowOff>90491</xdr:rowOff>
    </xdr:to>
    <xdr:sp macro="" textlink="">
      <xdr:nvSpPr>
        <xdr:cNvPr id="2" name="Rechteck 1">
          <a:extLst>
            <a:ext uri="{FF2B5EF4-FFF2-40B4-BE49-F238E27FC236}">
              <a16:creationId xmlns:a16="http://schemas.microsoft.com/office/drawing/2014/main" id="{F3B7C7D0-6C13-4CA5-A641-1BDBD11FFB5B}"/>
            </a:ext>
          </a:extLst>
        </xdr:cNvPr>
        <xdr:cNvSpPr/>
      </xdr:nvSpPr>
      <xdr:spPr>
        <a:xfrm>
          <a:off x="7696973" y="1240223"/>
          <a:ext cx="1935065" cy="9483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1.5-facher</a:t>
          </a:r>
          <a:r>
            <a:rPr lang="de-CH" sz="1100" baseline="0"/>
            <a:t> Pflanzenschutz nach Baumvolumenkonzept Merkblatt "Applikation von Pflanzenschutzmitteln im Hochstammobstbau" SG/TG.</a:t>
          </a:r>
          <a:endParaRPr lang="de-CH" sz="1100"/>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hierry.suard@fibl.or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vmlDrawing" Target="../drawings/vmlDrawing10.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41"/>
  <sheetViews>
    <sheetView showGridLines="0" topLeftCell="A52" zoomScaleNormal="100" zoomScalePageLayoutView="130" workbookViewId="0">
      <selection activeCell="B30" sqref="B30:C31"/>
    </sheetView>
  </sheetViews>
  <sheetFormatPr baseColWidth="10" defaultColWidth="9.140625" defaultRowHeight="12.75" x14ac:dyDescent="0.2"/>
  <cols>
    <col min="1" max="1" width="3.5703125" customWidth="1"/>
    <col min="2" max="2" width="3.28515625" style="153" customWidth="1"/>
    <col min="3" max="3" width="85.28515625" style="153" customWidth="1"/>
  </cols>
  <sheetData>
    <row r="1" spans="2:3" ht="66.95" customHeight="1" x14ac:dyDescent="0.2">
      <c r="B1" s="170" t="s">
        <v>194</v>
      </c>
      <c r="C1" s="170"/>
    </row>
    <row r="2" spans="2:3" s="154" customFormat="1" ht="18.600000000000001" customHeight="1" x14ac:dyDescent="0.2">
      <c r="B2" s="171" t="s">
        <v>193</v>
      </c>
      <c r="C2" s="165"/>
    </row>
    <row r="3" spans="2:3" s="154" customFormat="1" ht="18.95" customHeight="1" x14ac:dyDescent="0.2">
      <c r="B3" s="171" t="s">
        <v>205</v>
      </c>
      <c r="C3" s="171"/>
    </row>
    <row r="4" spans="2:3" ht="29.1" customHeight="1" x14ac:dyDescent="0.2">
      <c r="B4" s="168" t="s">
        <v>138</v>
      </c>
      <c r="C4" s="168"/>
    </row>
    <row r="5" spans="2:3" ht="0.95" customHeight="1" x14ac:dyDescent="0.2">
      <c r="B5" s="172"/>
      <c r="C5" s="172"/>
    </row>
    <row r="6" spans="2:3" s="154" customFormat="1" ht="165.6" customHeight="1" x14ac:dyDescent="0.2">
      <c r="B6" s="166" t="s">
        <v>137</v>
      </c>
      <c r="C6" s="166"/>
    </row>
    <row r="7" spans="2:3" s="154" customFormat="1" ht="2.4500000000000002" customHeight="1" x14ac:dyDescent="0.2">
      <c r="B7" s="166"/>
      <c r="C7" s="166"/>
    </row>
    <row r="8" spans="2:3" s="154" customFormat="1" ht="57" customHeight="1" x14ac:dyDescent="0.2">
      <c r="B8" s="166" t="s">
        <v>130</v>
      </c>
      <c r="C8" s="166"/>
    </row>
    <row r="9" spans="2:3" s="154" customFormat="1" ht="6.95" customHeight="1" x14ac:dyDescent="0.2">
      <c r="B9" s="166"/>
      <c r="C9" s="166"/>
    </row>
    <row r="10" spans="2:3" s="154" customFormat="1" ht="41.1" customHeight="1" x14ac:dyDescent="0.2">
      <c r="B10" s="166" t="s">
        <v>108</v>
      </c>
      <c r="C10" s="166"/>
    </row>
    <row r="11" spans="2:3" s="154" customFormat="1" ht="15" x14ac:dyDescent="0.2">
      <c r="B11" s="169" t="s">
        <v>226</v>
      </c>
      <c r="C11" s="169"/>
    </row>
    <row r="12" spans="2:3" s="154" customFormat="1" ht="15.6" customHeight="1" x14ac:dyDescent="0.2">
      <c r="B12" s="169" t="s">
        <v>227</v>
      </c>
      <c r="C12" s="169"/>
    </row>
    <row r="13" spans="2:3" s="154" customFormat="1" ht="6" customHeight="1" x14ac:dyDescent="0.2">
      <c r="B13" s="169"/>
      <c r="C13" s="169"/>
    </row>
    <row r="14" spans="2:3" s="154" customFormat="1" ht="40.5" customHeight="1" x14ac:dyDescent="0.2">
      <c r="B14" s="166" t="s">
        <v>131</v>
      </c>
      <c r="C14" s="166"/>
    </row>
    <row r="15" spans="2:3" ht="8.4499999999999993" customHeight="1" x14ac:dyDescent="0.2">
      <c r="B15" s="167"/>
      <c r="C15" s="167"/>
    </row>
    <row r="16" spans="2:3" ht="25.15" customHeight="1" x14ac:dyDescent="0.2">
      <c r="B16" s="168" t="s">
        <v>129</v>
      </c>
      <c r="C16" s="168"/>
    </row>
    <row r="17" spans="2:3" ht="15" hidden="1" x14ac:dyDescent="0.2">
      <c r="B17" s="152"/>
    </row>
    <row r="18" spans="2:3" ht="15" hidden="1" x14ac:dyDescent="0.2">
      <c r="B18" s="152"/>
    </row>
    <row r="19" spans="2:3" ht="5.45" customHeight="1" x14ac:dyDescent="0.2">
      <c r="B19" s="152"/>
    </row>
    <row r="20" spans="2:3" s="154" customFormat="1" ht="15" x14ac:dyDescent="0.2">
      <c r="B20" s="155" t="s">
        <v>133</v>
      </c>
      <c r="C20" s="156" t="s">
        <v>132</v>
      </c>
    </row>
    <row r="21" spans="2:3" s="154" customFormat="1" ht="29.25" x14ac:dyDescent="0.2">
      <c r="B21" s="157" t="s">
        <v>134</v>
      </c>
      <c r="C21" s="158" t="s">
        <v>228</v>
      </c>
    </row>
    <row r="22" spans="2:3" s="154" customFormat="1" ht="15" x14ac:dyDescent="0.2">
      <c r="B22" s="155" t="s">
        <v>135</v>
      </c>
      <c r="C22" s="156" t="s">
        <v>195</v>
      </c>
    </row>
    <row r="23" spans="2:3" s="154" customFormat="1" ht="28.5" x14ac:dyDescent="0.2">
      <c r="B23" s="155" t="s">
        <v>136</v>
      </c>
      <c r="C23" s="156" t="s">
        <v>196</v>
      </c>
    </row>
    <row r="24" spans="2:3" s="154" customFormat="1" ht="15" x14ac:dyDescent="0.2">
      <c r="B24" s="155" t="s">
        <v>197</v>
      </c>
      <c r="C24" s="156" t="s">
        <v>225</v>
      </c>
    </row>
    <row r="25" spans="2:3" s="154" customFormat="1" ht="6.95" customHeight="1" x14ac:dyDescent="0.2">
      <c r="B25" s="159"/>
      <c r="C25" s="160"/>
    </row>
    <row r="26" spans="2:3" s="154" customFormat="1" ht="15" x14ac:dyDescent="0.2">
      <c r="B26" s="164" t="s">
        <v>198</v>
      </c>
      <c r="C26" s="164"/>
    </row>
    <row r="27" spans="2:3" s="154" customFormat="1" ht="15" customHeight="1" x14ac:dyDescent="0.2">
      <c r="B27" s="165" t="s">
        <v>199</v>
      </c>
      <c r="C27" s="165"/>
    </row>
    <row r="28" spans="2:3" s="154" customFormat="1" ht="15" customHeight="1" x14ac:dyDescent="0.2">
      <c r="B28" s="165"/>
      <c r="C28" s="165"/>
    </row>
    <row r="29" spans="2:3" s="154" customFormat="1" ht="4.5" customHeight="1" x14ac:dyDescent="0.2">
      <c r="B29" s="161"/>
      <c r="C29" s="161"/>
    </row>
    <row r="30" spans="2:3" s="154" customFormat="1" ht="14.25" x14ac:dyDescent="0.2">
      <c r="B30" s="165" t="s">
        <v>200</v>
      </c>
      <c r="C30" s="165"/>
    </row>
    <row r="31" spans="2:3" s="154" customFormat="1" ht="14.25" x14ac:dyDescent="0.2">
      <c r="B31" s="165" t="s">
        <v>201</v>
      </c>
      <c r="C31" s="165"/>
    </row>
    <row r="32" spans="2:3" s="154" customFormat="1" ht="15" customHeight="1" x14ac:dyDescent="0.2">
      <c r="B32" s="163" t="s">
        <v>202</v>
      </c>
      <c r="C32" s="163"/>
    </row>
    <row r="33" spans="2:3" s="154" customFormat="1" ht="14.25" x14ac:dyDescent="0.2">
      <c r="B33" s="162" t="s">
        <v>203</v>
      </c>
      <c r="C33" s="162"/>
    </row>
    <row r="34" spans="2:3" s="154" customFormat="1" ht="14.25" x14ac:dyDescent="0.2">
      <c r="B34" s="160"/>
      <c r="C34" s="160"/>
    </row>
    <row r="35" spans="2:3" ht="15" x14ac:dyDescent="0.2">
      <c r="B35" s="151"/>
    </row>
    <row r="36" spans="2:3" ht="15" x14ac:dyDescent="0.2">
      <c r="B36" s="151"/>
    </row>
    <row r="37" spans="2:3" ht="15" x14ac:dyDescent="0.2">
      <c r="B37" s="151"/>
    </row>
    <row r="38" spans="2:3" ht="15" x14ac:dyDescent="0.2">
      <c r="B38" s="151"/>
    </row>
    <row r="39" spans="2:3" ht="15" x14ac:dyDescent="0.2">
      <c r="B39" s="151"/>
    </row>
    <row r="40" spans="2:3" ht="15" x14ac:dyDescent="0.2">
      <c r="B40" s="151"/>
    </row>
    <row r="41" spans="2:3" ht="15" x14ac:dyDescent="0.2">
      <c r="B41" s="151"/>
    </row>
  </sheetData>
  <mergeCells count="22">
    <mergeCell ref="B7:C7"/>
    <mergeCell ref="B1:C1"/>
    <mergeCell ref="B3:C3"/>
    <mergeCell ref="B4:C4"/>
    <mergeCell ref="B5:C5"/>
    <mergeCell ref="B6:C6"/>
    <mergeCell ref="B2:C2"/>
    <mergeCell ref="B14:C14"/>
    <mergeCell ref="B15:C15"/>
    <mergeCell ref="B16:C16"/>
    <mergeCell ref="B8:C8"/>
    <mergeCell ref="B9:C9"/>
    <mergeCell ref="B10:C10"/>
    <mergeCell ref="B11:C11"/>
    <mergeCell ref="B12:C12"/>
    <mergeCell ref="B13:C13"/>
    <mergeCell ref="B33:C33"/>
    <mergeCell ref="B32:C32"/>
    <mergeCell ref="B26:C26"/>
    <mergeCell ref="B30:C30"/>
    <mergeCell ref="B31:C31"/>
    <mergeCell ref="B27:C28"/>
  </mergeCells>
  <phoneticPr fontId="6" type="noConversion"/>
  <hyperlinks>
    <hyperlink ref="B32" r:id="rId1" xr:uid="{155C3CCA-0BEF-4036-A5AA-05C6AE22C16D}"/>
  </hyperlinks>
  <pageMargins left="0.70866141732283472" right="0.70866141732283472" top="0.78740157480314965" bottom="0.74803149606299213" header="0.31496062992125984" footer="0.31496062992125984"/>
  <pageSetup paperSize="9" orientation="portrait" r:id="rId2"/>
  <headerFooter>
    <oddFooter>&amp;L&amp;G&amp;C© Copyright 2024 FiBL, Frick. Alle Rechte vorbehalten.</oddFooter>
  </headerFooter>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1"/>
  <sheetViews>
    <sheetView showGridLines="0" topLeftCell="A13" zoomScaleNormal="100" workbookViewId="0">
      <selection activeCell="J60" sqref="J60"/>
    </sheetView>
  </sheetViews>
  <sheetFormatPr baseColWidth="10" defaultRowHeight="12.75" x14ac:dyDescent="0.2"/>
  <cols>
    <col min="1" max="1" width="18.85546875" customWidth="1"/>
    <col min="2" max="2" width="45.5703125" customWidth="1"/>
    <col min="3" max="3" width="15.28515625" customWidth="1"/>
    <col min="4" max="4" width="6.7109375" bestFit="1" customWidth="1"/>
    <col min="5" max="5" width="8.5703125" style="1" customWidth="1"/>
    <col min="6" max="6" width="10.42578125" customWidth="1"/>
    <col min="7" max="7" width="6" customWidth="1"/>
  </cols>
  <sheetData>
    <row r="1" spans="1:7" ht="25.15" customHeight="1" x14ac:dyDescent="0.2">
      <c r="A1" s="168" t="s">
        <v>101</v>
      </c>
      <c r="B1" s="168"/>
      <c r="C1" s="168"/>
      <c r="D1" s="168"/>
      <c r="E1" s="168"/>
    </row>
    <row r="2" spans="1:7" ht="13.5" thickBot="1" x14ac:dyDescent="0.25">
      <c r="A2" s="17" t="str">
        <f>Erstellung!A2</f>
        <v>Variante mechanisiert, DZV Beiträge (QII + Vernetzung), Mostpäpfel, Bio Knospe</v>
      </c>
      <c r="B2" s="17"/>
      <c r="C2" s="17"/>
      <c r="D2" s="17"/>
      <c r="E2" s="42"/>
      <c r="F2" s="17"/>
      <c r="G2" s="17"/>
    </row>
    <row r="3" spans="1:7" ht="16.149999999999999" customHeight="1" thickBot="1" x14ac:dyDescent="0.25">
      <c r="A3" s="13"/>
      <c r="B3" s="13"/>
      <c r="C3" s="13" t="s">
        <v>58</v>
      </c>
      <c r="D3" s="13" t="s">
        <v>59</v>
      </c>
      <c r="E3" s="104" t="s">
        <v>124</v>
      </c>
      <c r="F3" s="17"/>
      <c r="G3" s="17"/>
    </row>
    <row r="4" spans="1:7" ht="13.5" customHeight="1" thickBot="1" x14ac:dyDescent="0.25">
      <c r="A4" s="17" t="s">
        <v>1</v>
      </c>
      <c r="B4" s="17" t="s">
        <v>42</v>
      </c>
      <c r="C4" s="21" t="s">
        <v>60</v>
      </c>
      <c r="D4" s="21" t="s">
        <v>61</v>
      </c>
      <c r="E4" s="105">
        <v>60</v>
      </c>
      <c r="F4" s="17"/>
      <c r="G4" s="17"/>
    </row>
    <row r="5" spans="1:7" ht="13.5" customHeight="1" thickBot="1" x14ac:dyDescent="0.25">
      <c r="A5" s="17"/>
      <c r="B5" s="17" t="s">
        <v>209</v>
      </c>
      <c r="C5" s="21" t="s">
        <v>68</v>
      </c>
      <c r="D5" s="21" t="s">
        <v>69</v>
      </c>
      <c r="E5" s="105">
        <v>12.1</v>
      </c>
      <c r="F5" s="17"/>
      <c r="G5" s="17"/>
    </row>
    <row r="6" spans="1:7" ht="12" customHeight="1" thickBot="1" x14ac:dyDescent="0.25">
      <c r="A6" s="17"/>
      <c r="B6" s="17"/>
      <c r="C6" s="21"/>
      <c r="D6" s="21"/>
      <c r="E6" s="19"/>
      <c r="F6" s="17"/>
      <c r="G6" s="17"/>
    </row>
    <row r="7" spans="1:7" ht="13.5" customHeight="1" thickBot="1" x14ac:dyDescent="0.25">
      <c r="A7" s="17" t="s">
        <v>2</v>
      </c>
      <c r="B7" s="17" t="s">
        <v>100</v>
      </c>
      <c r="C7" s="21" t="s">
        <v>60</v>
      </c>
      <c r="D7" s="21" t="s">
        <v>61</v>
      </c>
      <c r="E7" s="105">
        <v>10</v>
      </c>
      <c r="F7" s="17"/>
      <c r="G7" s="17"/>
    </row>
    <row r="8" spans="1:7" ht="13.5" customHeight="1" thickBot="1" x14ac:dyDescent="0.25">
      <c r="A8" s="17"/>
      <c r="B8" s="17" t="s">
        <v>210</v>
      </c>
      <c r="C8" s="21" t="s">
        <v>60</v>
      </c>
      <c r="D8" s="21" t="s">
        <v>61</v>
      </c>
      <c r="E8" s="105">
        <v>5.5</v>
      </c>
      <c r="F8" s="17"/>
      <c r="G8" s="17"/>
    </row>
    <row r="9" spans="1:7" ht="13.5" customHeight="1" thickBot="1" x14ac:dyDescent="0.25">
      <c r="A9" s="17"/>
      <c r="B9" s="17" t="s">
        <v>3</v>
      </c>
      <c r="C9" s="21" t="s">
        <v>60</v>
      </c>
      <c r="D9" s="21" t="s">
        <v>61</v>
      </c>
      <c r="E9" s="105">
        <v>0.5</v>
      </c>
      <c r="F9" s="17"/>
      <c r="G9" s="17"/>
    </row>
    <row r="10" spans="1:7" ht="13.5" customHeight="1" thickBot="1" x14ac:dyDescent="0.25">
      <c r="A10" s="17"/>
      <c r="B10" s="17" t="s">
        <v>208</v>
      </c>
      <c r="C10" s="21" t="s">
        <v>153</v>
      </c>
      <c r="D10" s="21" t="s">
        <v>61</v>
      </c>
      <c r="E10" s="105">
        <v>9.6999999999999993</v>
      </c>
      <c r="F10" s="17"/>
      <c r="G10" s="17"/>
    </row>
    <row r="11" spans="1:7" ht="12" customHeight="1" thickBot="1" x14ac:dyDescent="0.25">
      <c r="A11" s="17"/>
      <c r="B11" s="17"/>
      <c r="C11" s="21"/>
      <c r="D11" s="21"/>
      <c r="E11" s="19"/>
      <c r="F11" s="17"/>
      <c r="G11" s="17"/>
    </row>
    <row r="12" spans="1:7" ht="13.5" customHeight="1" thickBot="1" x14ac:dyDescent="0.25">
      <c r="A12" s="17" t="s">
        <v>43</v>
      </c>
      <c r="B12" s="17" t="s">
        <v>75</v>
      </c>
      <c r="C12" s="21" t="s">
        <v>62</v>
      </c>
      <c r="D12" s="21" t="s">
        <v>63</v>
      </c>
      <c r="E12" s="105">
        <v>22</v>
      </c>
      <c r="F12" s="17"/>
      <c r="G12" s="17"/>
    </row>
    <row r="13" spans="1:7" ht="12" customHeight="1" thickBot="1" x14ac:dyDescent="0.25">
      <c r="A13" s="17"/>
      <c r="B13" s="17"/>
      <c r="C13" s="21"/>
      <c r="D13" s="21"/>
      <c r="E13" s="19"/>
      <c r="F13" s="17"/>
      <c r="G13" s="17"/>
    </row>
    <row r="14" spans="1:7" ht="13.5" customHeight="1" thickBot="1" x14ac:dyDescent="0.25">
      <c r="A14" s="17" t="s">
        <v>76</v>
      </c>
      <c r="B14" s="17" t="s">
        <v>162</v>
      </c>
      <c r="C14" s="21" t="s">
        <v>68</v>
      </c>
      <c r="D14" s="21" t="s">
        <v>69</v>
      </c>
      <c r="E14" s="105">
        <f>101.8/5</f>
        <v>20.36</v>
      </c>
      <c r="F14" s="17"/>
      <c r="G14" s="17"/>
    </row>
    <row r="15" spans="1:7" ht="13.5" customHeight="1" thickBot="1" x14ac:dyDescent="0.25">
      <c r="A15" s="17"/>
      <c r="B15" s="17" t="s">
        <v>165</v>
      </c>
      <c r="C15" s="21" t="s">
        <v>68</v>
      </c>
      <c r="D15" s="21" t="s">
        <v>69</v>
      </c>
      <c r="E15" s="105">
        <f>98/25</f>
        <v>3.92</v>
      </c>
      <c r="F15" s="17"/>
      <c r="G15" s="17"/>
    </row>
    <row r="16" spans="1:7" ht="13.5" customHeight="1" thickBot="1" x14ac:dyDescent="0.25">
      <c r="A16" s="17"/>
      <c r="B16" s="17" t="s">
        <v>167</v>
      </c>
      <c r="C16" s="21" t="s">
        <v>68</v>
      </c>
      <c r="D16" s="21" t="s">
        <v>69</v>
      </c>
      <c r="E16" s="105">
        <f>278.5/25</f>
        <v>11.14</v>
      </c>
      <c r="F16" s="17"/>
      <c r="G16" s="17"/>
    </row>
    <row r="17" spans="1:7" ht="13.5" customHeight="1" thickBot="1" x14ac:dyDescent="0.25">
      <c r="A17" s="17"/>
      <c r="B17" s="17" t="s">
        <v>206</v>
      </c>
      <c r="C17" s="21" t="s">
        <v>169</v>
      </c>
      <c r="D17" s="21" t="s">
        <v>170</v>
      </c>
      <c r="E17" s="105">
        <f>101/20</f>
        <v>5.05</v>
      </c>
      <c r="F17" s="17"/>
      <c r="G17" s="17"/>
    </row>
    <row r="18" spans="1:7" ht="13.5" customHeight="1" thickBot="1" x14ac:dyDescent="0.25">
      <c r="A18" s="17"/>
      <c r="B18" s="17" t="s">
        <v>207</v>
      </c>
      <c r="C18" s="21" t="s">
        <v>68</v>
      </c>
      <c r="D18" s="21" t="s">
        <v>69</v>
      </c>
      <c r="E18" s="105">
        <f>99.8/5</f>
        <v>19.96</v>
      </c>
      <c r="F18" s="17"/>
      <c r="G18" s="17"/>
    </row>
    <row r="19" spans="1:7" ht="13.5" customHeight="1" thickBot="1" x14ac:dyDescent="0.25">
      <c r="A19" s="17"/>
      <c r="B19" s="17" t="s">
        <v>171</v>
      </c>
      <c r="C19" s="21" t="s">
        <v>169</v>
      </c>
      <c r="D19" s="21" t="s">
        <v>170</v>
      </c>
      <c r="E19" s="105">
        <v>759</v>
      </c>
      <c r="F19" s="17"/>
      <c r="G19" s="17"/>
    </row>
    <row r="20" spans="1:7" ht="12" customHeight="1" thickBot="1" x14ac:dyDescent="0.25">
      <c r="A20" s="17"/>
      <c r="B20" s="17"/>
      <c r="C20" s="21"/>
      <c r="D20" s="21"/>
      <c r="E20" s="106"/>
      <c r="F20" s="17"/>
      <c r="G20" s="17"/>
    </row>
    <row r="21" spans="1:7" ht="13.5" customHeight="1" thickBot="1" x14ac:dyDescent="0.25">
      <c r="A21" s="17"/>
      <c r="B21" s="17" t="s">
        <v>97</v>
      </c>
      <c r="C21" s="21" t="s">
        <v>60</v>
      </c>
      <c r="D21" s="21" t="s">
        <v>61</v>
      </c>
      <c r="E21" s="107">
        <v>58.4</v>
      </c>
      <c r="F21" s="17"/>
      <c r="G21" s="17"/>
    </row>
    <row r="22" spans="1:7" ht="12" customHeight="1" thickBot="1" x14ac:dyDescent="0.25">
      <c r="A22" s="17"/>
      <c r="B22" s="17"/>
      <c r="C22" s="21"/>
      <c r="D22" s="21"/>
      <c r="E22" s="106"/>
      <c r="F22" s="17"/>
      <c r="G22" s="17"/>
    </row>
    <row r="23" spans="1:7" ht="13.5" customHeight="1" thickBot="1" x14ac:dyDescent="0.25">
      <c r="A23" s="17" t="s">
        <v>4</v>
      </c>
      <c r="B23" s="17" t="s">
        <v>5</v>
      </c>
      <c r="C23" s="21" t="s">
        <v>70</v>
      </c>
      <c r="D23" s="21" t="s">
        <v>71</v>
      </c>
      <c r="E23" s="108">
        <v>80</v>
      </c>
      <c r="F23" s="17"/>
      <c r="G23" s="17"/>
    </row>
    <row r="24" spans="1:7" ht="13.5" customHeight="1" thickBot="1" x14ac:dyDescent="0.25">
      <c r="A24" s="17"/>
      <c r="B24" s="17" t="s">
        <v>98</v>
      </c>
      <c r="C24" s="21" t="s">
        <v>72</v>
      </c>
      <c r="D24" s="21" t="s">
        <v>73</v>
      </c>
      <c r="E24" s="108">
        <v>500</v>
      </c>
      <c r="F24" s="17"/>
      <c r="G24" s="17"/>
    </row>
    <row r="25" spans="1:7" ht="13.5" customHeight="1" thickBot="1" x14ac:dyDescent="0.25">
      <c r="A25" s="17"/>
      <c r="B25" s="17" t="s">
        <v>40</v>
      </c>
      <c r="C25" s="21" t="s">
        <v>72</v>
      </c>
      <c r="D25" s="21" t="s">
        <v>73</v>
      </c>
      <c r="E25" s="109">
        <v>1000</v>
      </c>
      <c r="F25" s="17"/>
      <c r="G25" s="17"/>
    </row>
    <row r="26" spans="1:7" ht="13.5" customHeight="1" thickBot="1" x14ac:dyDescent="0.25">
      <c r="A26" s="17"/>
      <c r="B26" s="17" t="s">
        <v>78</v>
      </c>
      <c r="C26" s="21" t="s">
        <v>72</v>
      </c>
      <c r="D26" s="21" t="s">
        <v>73</v>
      </c>
      <c r="E26" s="105">
        <v>500</v>
      </c>
      <c r="F26" s="17"/>
      <c r="G26" s="47"/>
    </row>
    <row r="27" spans="1:7" ht="13.5" customHeight="1" thickBot="1" x14ac:dyDescent="0.25">
      <c r="A27" s="17"/>
      <c r="B27" s="110" t="s">
        <v>50</v>
      </c>
      <c r="C27" s="21" t="s">
        <v>72</v>
      </c>
      <c r="D27" s="21" t="s">
        <v>73</v>
      </c>
      <c r="E27" s="105">
        <v>48</v>
      </c>
      <c r="F27" s="17"/>
      <c r="G27" s="47"/>
    </row>
    <row r="28" spans="1:7" ht="13.5" customHeight="1" x14ac:dyDescent="0.2">
      <c r="A28" s="17"/>
      <c r="B28" s="110" t="s">
        <v>123</v>
      </c>
      <c r="C28" s="111" t="s">
        <v>88</v>
      </c>
      <c r="D28" s="112" t="s">
        <v>89</v>
      </c>
      <c r="E28" s="113">
        <v>1</v>
      </c>
      <c r="F28" s="17"/>
      <c r="G28" s="114"/>
    </row>
    <row r="29" spans="1:7" ht="12" customHeight="1" thickBot="1" x14ac:dyDescent="0.25">
      <c r="A29" s="17"/>
      <c r="B29" s="17"/>
      <c r="C29" s="17"/>
      <c r="D29" s="17"/>
      <c r="E29" s="42"/>
      <c r="F29" s="17"/>
      <c r="G29" s="114"/>
    </row>
    <row r="30" spans="1:7" ht="13.5" customHeight="1" thickBot="1" x14ac:dyDescent="0.25">
      <c r="A30" s="17" t="s">
        <v>117</v>
      </c>
      <c r="B30" s="17" t="s">
        <v>8</v>
      </c>
      <c r="C30" s="21" t="s">
        <v>66</v>
      </c>
      <c r="D30" s="21" t="s">
        <v>67</v>
      </c>
      <c r="E30" s="105">
        <v>28</v>
      </c>
      <c r="F30" s="17"/>
      <c r="G30" s="47"/>
    </row>
    <row r="31" spans="1:7" ht="13.5" customHeight="1" thickBot="1" x14ac:dyDescent="0.25">
      <c r="A31" s="17"/>
      <c r="B31" s="17" t="s">
        <v>175</v>
      </c>
      <c r="C31" s="21" t="s">
        <v>66</v>
      </c>
      <c r="D31" s="21" t="s">
        <v>67</v>
      </c>
      <c r="E31" s="105">
        <v>46</v>
      </c>
      <c r="F31" s="17"/>
      <c r="G31" s="47"/>
    </row>
    <row r="32" spans="1:7" ht="13.5" customHeight="1" thickBot="1" x14ac:dyDescent="0.25">
      <c r="A32" s="17"/>
      <c r="B32" s="17" t="s">
        <v>9</v>
      </c>
      <c r="C32" s="21" t="s">
        <v>66</v>
      </c>
      <c r="D32" s="21" t="s">
        <v>67</v>
      </c>
      <c r="E32" s="105">
        <v>12</v>
      </c>
      <c r="F32" s="17"/>
      <c r="G32" s="17"/>
    </row>
    <row r="33" spans="1:7" ht="13.5" customHeight="1" thickBot="1" x14ac:dyDescent="0.25">
      <c r="A33" s="17"/>
      <c r="B33" s="17" t="s">
        <v>177</v>
      </c>
      <c r="C33" s="21" t="s">
        <v>66</v>
      </c>
      <c r="D33" s="21" t="s">
        <v>67</v>
      </c>
      <c r="E33" s="105">
        <v>37</v>
      </c>
      <c r="F33" s="17"/>
      <c r="G33" s="17"/>
    </row>
    <row r="34" spans="1:7" ht="13.5" customHeight="1" thickBot="1" x14ac:dyDescent="0.25">
      <c r="A34" s="17"/>
      <c r="B34" s="17" t="s">
        <v>155</v>
      </c>
      <c r="C34" s="21" t="s">
        <v>66</v>
      </c>
      <c r="D34" s="21" t="s">
        <v>67</v>
      </c>
      <c r="E34" s="105">
        <v>11.9</v>
      </c>
      <c r="F34" s="17"/>
      <c r="G34" s="17"/>
    </row>
    <row r="35" spans="1:7" ht="13.5" customHeight="1" thickBot="1" x14ac:dyDescent="0.25">
      <c r="A35" s="17"/>
      <c r="B35" s="17" t="s">
        <v>157</v>
      </c>
      <c r="C35" s="21" t="s">
        <v>66</v>
      </c>
      <c r="D35" s="21" t="s">
        <v>67</v>
      </c>
      <c r="E35" s="105">
        <v>7.6</v>
      </c>
      <c r="F35" s="17"/>
      <c r="G35" s="17"/>
    </row>
    <row r="36" spans="1:7" ht="13.5" customHeight="1" thickBot="1" x14ac:dyDescent="0.25">
      <c r="A36" s="17"/>
      <c r="B36" s="17" t="s">
        <v>111</v>
      </c>
      <c r="C36" s="21" t="s">
        <v>66</v>
      </c>
      <c r="D36" s="21" t="s">
        <v>67</v>
      </c>
      <c r="E36" s="105">
        <v>20</v>
      </c>
      <c r="F36" s="17"/>
      <c r="G36" s="17"/>
    </row>
    <row r="37" spans="1:7" ht="13.5" customHeight="1" thickBot="1" x14ac:dyDescent="0.25">
      <c r="A37" s="17"/>
      <c r="B37" s="17" t="s">
        <v>212</v>
      </c>
      <c r="C37" s="21" t="s">
        <v>213</v>
      </c>
      <c r="D37" s="21" t="s">
        <v>103</v>
      </c>
      <c r="E37" s="105">
        <v>82.53</v>
      </c>
      <c r="G37" s="17"/>
    </row>
    <row r="38" spans="1:7" ht="13.5" customHeight="1" thickBot="1" x14ac:dyDescent="0.25">
      <c r="A38" s="17"/>
      <c r="B38" s="17" t="s">
        <v>214</v>
      </c>
      <c r="C38" s="21" t="s">
        <v>213</v>
      </c>
      <c r="D38" s="21" t="s">
        <v>103</v>
      </c>
      <c r="E38" s="105">
        <v>28.13</v>
      </c>
      <c r="G38" s="17"/>
    </row>
    <row r="39" spans="1:7" ht="13.5" customHeight="1" thickBot="1" x14ac:dyDescent="0.25">
      <c r="A39" s="17"/>
      <c r="B39" s="17" t="s">
        <v>36</v>
      </c>
      <c r="C39" s="21" t="s">
        <v>66</v>
      </c>
      <c r="D39" s="21" t="s">
        <v>67</v>
      </c>
      <c r="E39" s="108">
        <v>20</v>
      </c>
      <c r="G39" s="17"/>
    </row>
    <row r="40" spans="1:7" ht="13.5" customHeight="1" thickBot="1" x14ac:dyDescent="0.25">
      <c r="A40" s="17"/>
      <c r="B40" s="17" t="s">
        <v>189</v>
      </c>
      <c r="C40" s="21" t="s">
        <v>66</v>
      </c>
      <c r="D40" s="21" t="s">
        <v>67</v>
      </c>
      <c r="E40" s="105">
        <v>19</v>
      </c>
      <c r="F40" s="17"/>
      <c r="G40" s="17"/>
    </row>
    <row r="41" spans="1:7" ht="13.5" customHeight="1" thickBot="1" x14ac:dyDescent="0.25">
      <c r="A41" s="17"/>
      <c r="B41" t="s">
        <v>180</v>
      </c>
      <c r="C41" s="21" t="s">
        <v>66</v>
      </c>
      <c r="D41" s="21" t="s">
        <v>67</v>
      </c>
      <c r="E41" s="105">
        <v>13</v>
      </c>
      <c r="F41" s="17"/>
      <c r="G41" s="17"/>
    </row>
    <row r="42" spans="1:7" ht="13.5" customHeight="1" thickBot="1" x14ac:dyDescent="0.25">
      <c r="A42" s="17"/>
      <c r="B42" t="s">
        <v>188</v>
      </c>
      <c r="C42" s="21" t="s">
        <v>66</v>
      </c>
      <c r="D42" s="21" t="s">
        <v>67</v>
      </c>
      <c r="E42" s="105">
        <v>53</v>
      </c>
      <c r="F42" s="17"/>
      <c r="G42" s="17"/>
    </row>
    <row r="43" spans="1:7" ht="13.5" customHeight="1" thickBot="1" x14ac:dyDescent="0.25">
      <c r="A43" s="17"/>
      <c r="B43" s="17" t="s">
        <v>179</v>
      </c>
      <c r="C43" s="21" t="s">
        <v>66</v>
      </c>
      <c r="D43" s="21" t="s">
        <v>67</v>
      </c>
      <c r="E43" s="105">
        <v>42</v>
      </c>
      <c r="F43" s="17"/>
      <c r="G43" s="17"/>
    </row>
    <row r="44" spans="1:7" ht="12" customHeight="1" thickBot="1" x14ac:dyDescent="0.25">
      <c r="A44" s="17"/>
      <c r="B44" s="17"/>
      <c r="C44" s="115"/>
      <c r="D44" s="115"/>
      <c r="E44" s="42"/>
      <c r="F44" s="17"/>
      <c r="G44" s="17"/>
    </row>
    <row r="45" spans="1:7" ht="13.5" customHeight="1" thickBot="1" x14ac:dyDescent="0.25">
      <c r="A45" s="17" t="s">
        <v>10</v>
      </c>
      <c r="B45" s="47" t="s">
        <v>159</v>
      </c>
      <c r="C45" s="21" t="s">
        <v>66</v>
      </c>
      <c r="D45" s="21" t="s">
        <v>67</v>
      </c>
      <c r="E45" s="105">
        <v>48</v>
      </c>
      <c r="F45" s="17"/>
      <c r="G45" s="116"/>
    </row>
    <row r="46" spans="1:7" ht="12" customHeight="1" thickBot="1" x14ac:dyDescent="0.25">
      <c r="A46" s="17"/>
      <c r="B46" s="17"/>
      <c r="C46" s="17"/>
      <c r="D46" s="17"/>
      <c r="E46" s="42"/>
      <c r="F46" s="17"/>
      <c r="G46" s="17"/>
    </row>
    <row r="47" spans="1:7" ht="13.5" customHeight="1" thickBot="1" x14ac:dyDescent="0.25">
      <c r="A47" s="17" t="s">
        <v>11</v>
      </c>
      <c r="B47" s="17" t="s">
        <v>74</v>
      </c>
      <c r="C47" s="21" t="s">
        <v>72</v>
      </c>
      <c r="D47" s="21" t="s">
        <v>73</v>
      </c>
      <c r="E47" s="108">
        <v>250</v>
      </c>
      <c r="F47" s="17"/>
      <c r="G47" s="17"/>
    </row>
    <row r="48" spans="1:7" ht="13.5" customHeight="1" thickBot="1" x14ac:dyDescent="0.25">
      <c r="A48" s="17"/>
      <c r="B48" s="17"/>
      <c r="C48" s="111"/>
      <c r="D48" s="111"/>
      <c r="E48" s="19"/>
      <c r="F48" s="17"/>
      <c r="G48" s="17"/>
    </row>
    <row r="49" spans="1:7" ht="13.5" customHeight="1" thickBot="1" x14ac:dyDescent="0.25">
      <c r="A49" s="46" t="s">
        <v>13</v>
      </c>
      <c r="B49" s="46"/>
      <c r="C49" s="30" t="s">
        <v>79</v>
      </c>
      <c r="D49" s="30" t="s">
        <v>80</v>
      </c>
      <c r="E49" s="105">
        <v>700</v>
      </c>
      <c r="F49" s="17"/>
      <c r="G49" s="17"/>
    </row>
    <row r="50" spans="1:7" ht="13.5" customHeight="1" thickBot="1" x14ac:dyDescent="0.25">
      <c r="A50" s="17"/>
      <c r="B50" s="17"/>
      <c r="C50" s="30"/>
      <c r="D50" s="30"/>
      <c r="E50" s="19"/>
      <c r="F50" s="17"/>
      <c r="G50" s="17"/>
    </row>
    <row r="51" spans="1:7" ht="13.5" customHeight="1" thickBot="1" x14ac:dyDescent="0.25">
      <c r="A51" s="17" t="s">
        <v>77</v>
      </c>
      <c r="B51" s="17" t="s">
        <v>64</v>
      </c>
      <c r="C51" s="21" t="s">
        <v>65</v>
      </c>
      <c r="D51" s="21" t="s">
        <v>67</v>
      </c>
      <c r="E51" s="105">
        <v>30</v>
      </c>
      <c r="F51" s="17"/>
      <c r="G51" s="17"/>
    </row>
    <row r="52" spans="1:7" ht="12" customHeight="1" thickBot="1" x14ac:dyDescent="0.25">
      <c r="A52" s="17"/>
      <c r="B52" s="17"/>
      <c r="C52" s="17"/>
      <c r="D52" s="17"/>
      <c r="E52" s="42"/>
      <c r="F52" s="17"/>
      <c r="G52" s="17"/>
    </row>
    <row r="53" spans="1:7" ht="13.5" customHeight="1" thickBot="1" x14ac:dyDescent="0.25">
      <c r="A53" s="17" t="s">
        <v>118</v>
      </c>
      <c r="B53" s="17"/>
      <c r="C53" s="21" t="s">
        <v>68</v>
      </c>
      <c r="D53" s="21" t="s">
        <v>69</v>
      </c>
      <c r="E53" s="105">
        <v>0.3</v>
      </c>
      <c r="F53" s="17"/>
      <c r="G53" s="17"/>
    </row>
    <row r="54" spans="1:7" ht="13.5" customHeight="1" thickBot="1" x14ac:dyDescent="0.25">
      <c r="A54" s="17" t="s">
        <v>41</v>
      </c>
      <c r="B54" s="17"/>
      <c r="C54" s="21"/>
      <c r="D54" s="21"/>
      <c r="E54" s="21"/>
      <c r="F54" s="17"/>
      <c r="G54" s="17"/>
    </row>
    <row r="55" spans="1:7" ht="12" customHeight="1" thickBot="1" x14ac:dyDescent="0.25">
      <c r="A55" s="17"/>
      <c r="B55" s="17"/>
      <c r="C55" s="17"/>
      <c r="D55" s="17"/>
      <c r="E55" s="42"/>
      <c r="F55" s="17"/>
      <c r="G55" s="17"/>
    </row>
    <row r="56" spans="1:7" ht="13.5" customHeight="1" thickBot="1" x14ac:dyDescent="0.25">
      <c r="A56" s="17" t="s">
        <v>102</v>
      </c>
      <c r="B56" s="17"/>
      <c r="C56" s="30" t="s">
        <v>79</v>
      </c>
      <c r="D56" s="30" t="s">
        <v>80</v>
      </c>
      <c r="E56" s="117">
        <v>0</v>
      </c>
      <c r="F56" s="17"/>
      <c r="G56" s="17"/>
    </row>
    <row r="57" spans="1:7" ht="13.5" customHeight="1" thickBot="1" x14ac:dyDescent="0.25">
      <c r="A57" s="17" t="s">
        <v>27</v>
      </c>
      <c r="B57" s="17"/>
      <c r="C57" s="21" t="s">
        <v>103</v>
      </c>
      <c r="D57" s="21">
        <v>1</v>
      </c>
      <c r="E57" s="118">
        <v>200</v>
      </c>
      <c r="F57" s="17"/>
      <c r="G57" s="17"/>
    </row>
    <row r="58" spans="1:7" ht="13.5" customHeight="1" thickBot="1" x14ac:dyDescent="0.25">
      <c r="A58" s="17"/>
      <c r="B58" s="17"/>
      <c r="C58" s="17"/>
      <c r="D58" s="17"/>
      <c r="E58" s="42"/>
      <c r="F58" s="119" t="s">
        <v>229</v>
      </c>
      <c r="G58" s="120" t="s">
        <v>46</v>
      </c>
    </row>
    <row r="59" spans="1:7" ht="13.5" customHeight="1" thickBot="1" x14ac:dyDescent="0.25">
      <c r="A59" s="17" t="s">
        <v>120</v>
      </c>
      <c r="B59" s="17" t="s">
        <v>90</v>
      </c>
      <c r="C59" s="21" t="s">
        <v>81</v>
      </c>
      <c r="D59" s="121" t="s">
        <v>82</v>
      </c>
      <c r="E59" s="105">
        <v>0</v>
      </c>
      <c r="F59" s="122">
        <v>2</v>
      </c>
      <c r="G59" s="123">
        <f>E59*F59</f>
        <v>0</v>
      </c>
    </row>
    <row r="60" spans="1:7" ht="13.5" customHeight="1" thickBot="1" x14ac:dyDescent="0.25">
      <c r="A60" s="17"/>
      <c r="B60" s="17" t="s">
        <v>83</v>
      </c>
      <c r="C60" s="21" t="s">
        <v>81</v>
      </c>
      <c r="D60" s="121" t="s">
        <v>82</v>
      </c>
      <c r="E60" s="105">
        <v>10</v>
      </c>
      <c r="F60" s="122">
        <v>3</v>
      </c>
      <c r="G60" s="123">
        <f>E60*F60</f>
        <v>30</v>
      </c>
    </row>
    <row r="61" spans="1:7" ht="13.5" customHeight="1" thickBot="1" x14ac:dyDescent="0.25">
      <c r="A61" s="17"/>
      <c r="B61" s="17" t="s">
        <v>84</v>
      </c>
      <c r="C61" s="21" t="s">
        <v>81</v>
      </c>
      <c r="D61" s="121" t="s">
        <v>82</v>
      </c>
      <c r="E61" s="105">
        <v>40</v>
      </c>
      <c r="F61" s="122">
        <v>5</v>
      </c>
      <c r="G61" s="123">
        <f>E61*F61</f>
        <v>200</v>
      </c>
    </row>
    <row r="62" spans="1:7" ht="13.5" customHeight="1" thickBot="1" x14ac:dyDescent="0.25">
      <c r="A62" s="17"/>
      <c r="B62" s="17" t="s">
        <v>85</v>
      </c>
      <c r="C62" s="21" t="s">
        <v>81</v>
      </c>
      <c r="D62" s="121" t="s">
        <v>82</v>
      </c>
      <c r="E62" s="105">
        <v>110</v>
      </c>
      <c r="F62" s="122">
        <v>5</v>
      </c>
      <c r="G62" s="123">
        <f>E62*F62</f>
        <v>550</v>
      </c>
    </row>
    <row r="63" spans="1:7" ht="13.5" customHeight="1" thickBot="1" x14ac:dyDescent="0.25">
      <c r="A63" s="17"/>
      <c r="B63" s="17" t="s">
        <v>173</v>
      </c>
      <c r="C63" s="21" t="s">
        <v>81</v>
      </c>
      <c r="D63" s="121" t="s">
        <v>82</v>
      </c>
      <c r="E63" s="136">
        <f>G63/F63</f>
        <v>52</v>
      </c>
      <c r="F63" s="125">
        <f>SUM(F59:F62)</f>
        <v>15</v>
      </c>
      <c r="G63" s="126">
        <f>SUM(G59:G62)</f>
        <v>780</v>
      </c>
    </row>
    <row r="64" spans="1:7" ht="13.5" customHeight="1" thickBot="1" x14ac:dyDescent="0.25">
      <c r="A64" s="17"/>
      <c r="B64" s="17" t="s">
        <v>173</v>
      </c>
      <c r="C64" s="21" t="s">
        <v>86</v>
      </c>
      <c r="D64" s="121" t="s">
        <v>87</v>
      </c>
      <c r="E64" s="124">
        <f>E63*120</f>
        <v>6240</v>
      </c>
    </row>
    <row r="65" spans="1:10" ht="13.9" customHeight="1" thickBot="1" x14ac:dyDescent="0.25">
      <c r="A65" s="17"/>
      <c r="B65" s="17" t="s">
        <v>174</v>
      </c>
      <c r="C65" s="21" t="s">
        <v>86</v>
      </c>
      <c r="D65" s="121" t="s">
        <v>87</v>
      </c>
      <c r="E65" s="105">
        <v>25000</v>
      </c>
      <c r="F65" s="17"/>
      <c r="G65" s="17"/>
    </row>
    <row r="66" spans="1:10" ht="11.25" customHeight="1" x14ac:dyDescent="0.2"/>
    <row r="67" spans="1:10" ht="11.25" customHeight="1" x14ac:dyDescent="0.2">
      <c r="A67" s="8"/>
    </row>
    <row r="68" spans="1:10" x14ac:dyDescent="0.2">
      <c r="A68" s="11" t="s">
        <v>204</v>
      </c>
      <c r="J68" s="2"/>
    </row>
    <row r="69" spans="1:10" x14ac:dyDescent="0.2">
      <c r="J69" s="2"/>
    </row>
    <row r="70" spans="1:10" x14ac:dyDescent="0.2">
      <c r="J70" s="2"/>
    </row>
    <row r="71" spans="1:10" x14ac:dyDescent="0.2">
      <c r="H71" s="11"/>
      <c r="J71" s="4"/>
    </row>
  </sheetData>
  <protectedRanges>
    <protectedRange sqref="E4:E5 E7:E10 E12 E14:E19 E21 E23:E28 E30:E43 E45 E47 E49 E51 E53 E56:E57 E59:E62 E65" name="Bereich1"/>
  </protectedRanges>
  <mergeCells count="1">
    <mergeCell ref="A1:E1"/>
  </mergeCells>
  <phoneticPr fontId="6" type="noConversion"/>
  <pageMargins left="0.70866141732283472" right="0.70866141732283472" top="0.78740157480314965" bottom="0.74803149606299213" header="0.31496062992125984" footer="0.31496062992125984"/>
  <pageSetup paperSize="9" orientation="portrait" r:id="rId1"/>
  <headerFooter>
    <oddFooter>&amp;L&amp;G&amp;C© Copyright 2016 FiBL, Frick. Alle Rechte vorbehalten.</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M45"/>
  <sheetViews>
    <sheetView showGridLines="0" zoomScaleNormal="100" workbookViewId="0">
      <selection activeCell="E5" sqref="E5"/>
    </sheetView>
  </sheetViews>
  <sheetFormatPr baseColWidth="10" defaultRowHeight="12.75" x14ac:dyDescent="0.2"/>
  <cols>
    <col min="1" max="1" width="21" customWidth="1"/>
    <col min="2" max="2" width="29.28515625" customWidth="1"/>
    <col min="3" max="3" width="10.5703125" customWidth="1"/>
    <col min="4" max="4" width="6.85546875" customWidth="1"/>
    <col min="5" max="5" width="11.42578125" style="1" customWidth="1"/>
    <col min="6" max="6" width="11.42578125" style="2" customWidth="1"/>
  </cols>
  <sheetData>
    <row r="1" spans="1:8" s="17" customFormat="1" ht="25.15" customHeight="1" x14ac:dyDescent="0.2">
      <c r="A1" s="168" t="str">
        <f>CONCATENATE("Erstellungskosten eines Obstgartens mit ",D4," Bäume/ha")</f>
        <v>Erstellungskosten eines Obstgartens mit 120 Bäume/ha</v>
      </c>
      <c r="B1" s="168"/>
      <c r="C1" s="168"/>
      <c r="D1" s="168"/>
      <c r="E1" s="168"/>
      <c r="F1" s="168"/>
    </row>
    <row r="2" spans="1:8" ht="13.5" thickBot="1" x14ac:dyDescent="0.25">
      <c r="A2" s="12" t="s">
        <v>190</v>
      </c>
      <c r="B2" s="12"/>
      <c r="C2" s="12"/>
      <c r="D2" s="12"/>
      <c r="E2" s="12"/>
      <c r="F2" s="12"/>
    </row>
    <row r="3" spans="1:8" ht="15" customHeight="1" thickBot="1" x14ac:dyDescent="0.25">
      <c r="A3" s="13"/>
      <c r="B3" s="13"/>
      <c r="C3" s="13" t="s">
        <v>156</v>
      </c>
      <c r="D3" s="14" t="s">
        <v>0</v>
      </c>
      <c r="E3" s="15" t="s">
        <v>124</v>
      </c>
      <c r="F3" s="16" t="s">
        <v>127</v>
      </c>
    </row>
    <row r="4" spans="1:8" ht="13.5" thickBot="1" x14ac:dyDescent="0.25">
      <c r="A4" s="17" t="s">
        <v>1</v>
      </c>
      <c r="B4" s="17" t="s">
        <v>93</v>
      </c>
      <c r="C4" s="17"/>
      <c r="D4" s="18">
        <v>120</v>
      </c>
      <c r="E4" s="19">
        <f>Kosten!E4</f>
        <v>60</v>
      </c>
      <c r="F4" s="20">
        <f>D4*E4</f>
        <v>7200</v>
      </c>
      <c r="H4" s="132"/>
    </row>
    <row r="5" spans="1:8" ht="13.5" thickBot="1" x14ac:dyDescent="0.25">
      <c r="A5" s="17"/>
      <c r="B5" s="17"/>
      <c r="C5" s="17"/>
      <c r="D5" s="21"/>
      <c r="E5" s="19"/>
      <c r="F5" s="20"/>
      <c r="H5" s="132"/>
    </row>
    <row r="6" spans="1:8" ht="13.5" thickBot="1" x14ac:dyDescent="0.25">
      <c r="A6" s="17" t="s">
        <v>2</v>
      </c>
      <c r="B6" s="17" t="s">
        <v>38</v>
      </c>
      <c r="C6" s="17"/>
      <c r="D6" s="18">
        <v>100</v>
      </c>
      <c r="E6" s="19">
        <f>Kosten!$E$7</f>
        <v>10</v>
      </c>
      <c r="F6" s="20">
        <f>D6*E6</f>
        <v>1000</v>
      </c>
      <c r="G6" s="7"/>
      <c r="H6" s="132"/>
    </row>
    <row r="7" spans="1:8" ht="13.5" thickBot="1" x14ac:dyDescent="0.25">
      <c r="A7" s="17"/>
      <c r="B7" s="17" t="s">
        <v>37</v>
      </c>
      <c r="C7" s="17"/>
      <c r="D7" s="18">
        <v>100</v>
      </c>
      <c r="E7" s="19">
        <f>Kosten!$E$8</f>
        <v>5.5</v>
      </c>
      <c r="F7" s="20">
        <f>D7*E7</f>
        <v>550</v>
      </c>
      <c r="G7" s="7"/>
      <c r="H7" s="132"/>
    </row>
    <row r="8" spans="1:8" ht="13.5" thickBot="1" x14ac:dyDescent="0.25">
      <c r="A8" s="17"/>
      <c r="B8" s="17" t="s">
        <v>3</v>
      </c>
      <c r="C8" s="17"/>
      <c r="D8" s="18">
        <v>100</v>
      </c>
      <c r="E8" s="19">
        <f>Kosten!$E$9</f>
        <v>0.5</v>
      </c>
      <c r="F8" s="20">
        <f>D8*E8</f>
        <v>50</v>
      </c>
      <c r="G8" s="7"/>
      <c r="H8" s="132"/>
    </row>
    <row r="9" spans="1:8" ht="13.5" thickBot="1" x14ac:dyDescent="0.25">
      <c r="A9" s="17"/>
      <c r="B9" s="17" t="s">
        <v>151</v>
      </c>
      <c r="C9" s="17"/>
      <c r="D9" s="18">
        <v>2</v>
      </c>
      <c r="E9" s="19">
        <f>Kosten!$E$10</f>
        <v>9.6999999999999993</v>
      </c>
      <c r="F9" s="20">
        <f>D9*E9</f>
        <v>19.399999999999999</v>
      </c>
      <c r="H9" s="132"/>
    </row>
    <row r="10" spans="1:8" ht="13.5" thickBot="1" x14ac:dyDescent="0.25">
      <c r="A10" s="17"/>
      <c r="B10" s="17"/>
      <c r="C10" s="17"/>
      <c r="D10" s="21"/>
      <c r="E10" s="19"/>
      <c r="F10" s="20"/>
      <c r="G10" s="132"/>
      <c r="H10" s="132"/>
    </row>
    <row r="11" spans="1:8" ht="13.5" thickBot="1" x14ac:dyDescent="0.25">
      <c r="A11" s="17" t="s">
        <v>4</v>
      </c>
      <c r="B11" s="17" t="s">
        <v>154</v>
      </c>
      <c r="C11" s="17"/>
      <c r="D11" s="21"/>
      <c r="E11" s="19"/>
      <c r="F11" s="20">
        <f>Kosten!$E$24</f>
        <v>500</v>
      </c>
      <c r="H11" s="132"/>
    </row>
    <row r="12" spans="1:8" ht="13.5" thickBot="1" x14ac:dyDescent="0.25">
      <c r="A12" s="17"/>
      <c r="B12" s="17" t="s">
        <v>40</v>
      </c>
      <c r="C12" s="17"/>
      <c r="D12" s="23"/>
      <c r="E12" s="24"/>
      <c r="F12" s="20">
        <f>Kosten!$E$25</f>
        <v>1000</v>
      </c>
      <c r="H12" s="132"/>
    </row>
    <row r="13" spans="1:8" ht="13.5" thickBot="1" x14ac:dyDescent="0.25">
      <c r="A13" s="17"/>
      <c r="B13" s="17" t="s">
        <v>92</v>
      </c>
      <c r="C13" s="17"/>
      <c r="D13" s="25">
        <v>14</v>
      </c>
      <c r="E13" s="19">
        <f>Kosten!$E$21</f>
        <v>58.4</v>
      </c>
      <c r="F13" s="26">
        <f>D13*E13</f>
        <v>817.6</v>
      </c>
      <c r="H13" s="132"/>
    </row>
    <row r="14" spans="1:8" ht="15" customHeight="1" thickBot="1" x14ac:dyDescent="0.25">
      <c r="A14" s="27" t="s">
        <v>6</v>
      </c>
      <c r="B14" s="27"/>
      <c r="C14" s="27"/>
      <c r="D14" s="27"/>
      <c r="E14" s="28"/>
      <c r="F14" s="29">
        <f>SUM(F4:F13)</f>
        <v>11137</v>
      </c>
      <c r="H14" s="132"/>
    </row>
    <row r="15" spans="1:8" ht="13.5" thickBot="1" x14ac:dyDescent="0.25">
      <c r="A15" s="17"/>
      <c r="B15" s="17"/>
      <c r="C15" s="17"/>
      <c r="D15" s="30"/>
      <c r="E15" s="31"/>
      <c r="F15" s="32"/>
      <c r="H15" s="132"/>
    </row>
    <row r="16" spans="1:8" ht="13.5" thickBot="1" x14ac:dyDescent="0.25">
      <c r="A16" s="17" t="s">
        <v>117</v>
      </c>
      <c r="B16" s="17" t="s">
        <v>155</v>
      </c>
      <c r="C16" s="17"/>
      <c r="D16" s="22">
        <v>5</v>
      </c>
      <c r="E16" s="19">
        <f>Kosten!$E$34</f>
        <v>11.9</v>
      </c>
      <c r="F16" s="20">
        <f>D16*E16</f>
        <v>59.5</v>
      </c>
    </row>
    <row r="17" spans="1:13" ht="13.5" thickBot="1" x14ac:dyDescent="0.25">
      <c r="A17" s="17"/>
      <c r="B17" s="17" t="s">
        <v>33</v>
      </c>
      <c r="C17" s="17"/>
      <c r="D17" s="22">
        <v>15.8</v>
      </c>
      <c r="E17" s="19">
        <f>Kosten!$E$35</f>
        <v>7.6</v>
      </c>
      <c r="F17" s="20">
        <f>D17*E17</f>
        <v>120.08</v>
      </c>
      <c r="G17" s="7"/>
      <c r="H17" s="134"/>
      <c r="I17" s="7"/>
      <c r="J17" s="7"/>
      <c r="K17" s="7"/>
      <c r="L17" s="7"/>
      <c r="M17" s="7"/>
    </row>
    <row r="18" spans="1:13" ht="13.5" thickBot="1" x14ac:dyDescent="0.25">
      <c r="A18" s="17" t="s">
        <v>10</v>
      </c>
      <c r="B18" s="17" t="s">
        <v>158</v>
      </c>
      <c r="C18" s="17"/>
      <c r="D18" s="22">
        <v>6</v>
      </c>
      <c r="E18" s="19">
        <f>Kosten!$E$45</f>
        <v>48</v>
      </c>
      <c r="F18" s="20">
        <f>D18*E18</f>
        <v>288</v>
      </c>
      <c r="G18" s="7"/>
      <c r="H18" s="134"/>
      <c r="I18" s="7"/>
      <c r="J18" s="7"/>
      <c r="K18" s="7"/>
      <c r="L18" s="7"/>
      <c r="M18" s="7"/>
    </row>
    <row r="19" spans="1:13" ht="13.5" thickBot="1" x14ac:dyDescent="0.25">
      <c r="A19" s="17" t="s">
        <v>11</v>
      </c>
      <c r="B19" s="17"/>
      <c r="C19" s="17"/>
      <c r="D19" s="21"/>
      <c r="E19" s="19"/>
      <c r="F19" s="20">
        <f>Kosten!$E$47</f>
        <v>250</v>
      </c>
      <c r="G19" s="7"/>
      <c r="H19" s="134"/>
      <c r="I19" s="7"/>
      <c r="J19" s="7"/>
      <c r="K19" s="7"/>
      <c r="L19" s="7"/>
      <c r="M19" s="7"/>
    </row>
    <row r="20" spans="1:13" ht="13.5" thickBot="1" x14ac:dyDescent="0.25">
      <c r="A20" s="17"/>
      <c r="B20" s="17"/>
      <c r="C20" s="17"/>
      <c r="D20" s="23"/>
      <c r="E20" s="19"/>
      <c r="F20" s="20"/>
      <c r="G20" s="7"/>
      <c r="H20" s="134"/>
      <c r="I20" s="7"/>
      <c r="J20" s="7"/>
      <c r="K20" s="7"/>
      <c r="L20" s="7"/>
      <c r="M20" s="7"/>
    </row>
    <row r="21" spans="1:13" ht="15" customHeight="1" thickBot="1" x14ac:dyDescent="0.25">
      <c r="A21" s="33" t="s">
        <v>12</v>
      </c>
      <c r="B21" s="34"/>
      <c r="C21" s="34"/>
      <c r="D21" s="21"/>
      <c r="E21" s="19"/>
      <c r="F21" s="20">
        <f>SUM(F16:F19)</f>
        <v>717.57999999999993</v>
      </c>
      <c r="G21" s="7"/>
      <c r="H21" s="7"/>
      <c r="I21" s="7"/>
      <c r="J21" s="7"/>
      <c r="K21" s="7"/>
      <c r="L21" s="7"/>
      <c r="M21" s="7"/>
    </row>
    <row r="22" spans="1:13" ht="13.5" thickBot="1" x14ac:dyDescent="0.25">
      <c r="A22" s="17"/>
      <c r="B22" s="17"/>
      <c r="C22" s="17"/>
      <c r="D22" s="30"/>
      <c r="E22" s="19"/>
      <c r="F22" s="20"/>
      <c r="G22" s="7"/>
      <c r="H22" s="7"/>
      <c r="I22" s="7"/>
      <c r="J22" s="7"/>
      <c r="K22" s="7"/>
      <c r="L22" s="7"/>
      <c r="M22" s="7"/>
    </row>
    <row r="23" spans="1:13" ht="13.5" thickBot="1" x14ac:dyDescent="0.25">
      <c r="A23" s="17" t="s">
        <v>14</v>
      </c>
      <c r="B23" s="17" t="s">
        <v>160</v>
      </c>
      <c r="C23" s="17"/>
      <c r="D23" s="22">
        <v>10</v>
      </c>
      <c r="E23" s="19">
        <f>Kosten!$E$51</f>
        <v>30</v>
      </c>
      <c r="F23" s="35">
        <f>D23*E23</f>
        <v>300</v>
      </c>
      <c r="G23" s="7"/>
      <c r="H23" s="7"/>
      <c r="I23" s="7"/>
      <c r="J23" s="7"/>
      <c r="K23" s="7"/>
      <c r="L23" s="7"/>
      <c r="M23" s="7"/>
    </row>
    <row r="24" spans="1:13" ht="13.5" thickBot="1" x14ac:dyDescent="0.25">
      <c r="A24" s="17"/>
      <c r="B24" s="17" t="s">
        <v>15</v>
      </c>
      <c r="C24" s="17"/>
      <c r="D24" s="22">
        <v>1</v>
      </c>
      <c r="E24" s="19">
        <f>Kosten!$E$51</f>
        <v>30</v>
      </c>
      <c r="F24" s="20">
        <f t="shared" ref="F24:F28" si="0">D24*E24</f>
        <v>30</v>
      </c>
      <c r="G24" s="7"/>
      <c r="H24" s="7"/>
      <c r="I24" s="7"/>
      <c r="J24" s="7"/>
      <c r="K24" s="7"/>
      <c r="L24" s="7"/>
      <c r="M24" s="7"/>
    </row>
    <row r="25" spans="1:13" ht="13.5" thickBot="1" x14ac:dyDescent="0.25">
      <c r="A25" s="17"/>
      <c r="B25" s="17" t="s">
        <v>16</v>
      </c>
      <c r="C25" s="17"/>
      <c r="D25" s="22">
        <v>8</v>
      </c>
      <c r="E25" s="19">
        <f>Kosten!$E$51</f>
        <v>30</v>
      </c>
      <c r="F25" s="20">
        <f t="shared" si="0"/>
        <v>240</v>
      </c>
      <c r="G25" s="7"/>
      <c r="H25" s="7"/>
      <c r="I25" s="7"/>
      <c r="J25" s="7"/>
      <c r="K25" s="7"/>
      <c r="L25" s="7"/>
      <c r="M25" s="7"/>
    </row>
    <row r="26" spans="1:13" ht="13.5" thickBot="1" x14ac:dyDescent="0.25">
      <c r="A26" s="17"/>
      <c r="B26" s="17" t="s">
        <v>17</v>
      </c>
      <c r="C26" s="17"/>
      <c r="D26" s="22">
        <v>60</v>
      </c>
      <c r="E26" s="19">
        <f>Kosten!$E$51</f>
        <v>30</v>
      </c>
      <c r="F26" s="20">
        <f t="shared" si="0"/>
        <v>1800</v>
      </c>
      <c r="G26" s="7"/>
      <c r="H26" s="7"/>
      <c r="I26" s="7"/>
      <c r="J26" s="7"/>
      <c r="K26" s="7"/>
      <c r="L26" s="7"/>
      <c r="M26" s="7"/>
    </row>
    <row r="27" spans="1:13" ht="13.5" thickBot="1" x14ac:dyDescent="0.25">
      <c r="A27" s="17"/>
      <c r="B27" s="17" t="s">
        <v>161</v>
      </c>
      <c r="C27" s="17"/>
      <c r="D27" s="25">
        <v>20</v>
      </c>
      <c r="E27" s="19">
        <f>Kosten!$E$51</f>
        <v>30</v>
      </c>
      <c r="F27" s="20">
        <f t="shared" si="0"/>
        <v>600</v>
      </c>
      <c r="G27" s="7"/>
      <c r="H27" s="7"/>
      <c r="I27" s="7"/>
      <c r="J27" s="7"/>
      <c r="K27" s="7"/>
      <c r="L27" s="7"/>
      <c r="M27" s="7"/>
    </row>
    <row r="28" spans="1:13" ht="13.5" thickBot="1" x14ac:dyDescent="0.25">
      <c r="A28" s="17"/>
      <c r="B28" s="17" t="s">
        <v>94</v>
      </c>
      <c r="C28" s="17"/>
      <c r="D28" s="25">
        <v>20</v>
      </c>
      <c r="E28" s="19">
        <f>Kosten!$E$51</f>
        <v>30</v>
      </c>
      <c r="F28" s="20">
        <f t="shared" si="0"/>
        <v>600</v>
      </c>
      <c r="G28" s="7"/>
      <c r="H28" s="7"/>
      <c r="I28" s="7"/>
      <c r="J28" s="7"/>
      <c r="K28" s="7"/>
      <c r="L28" s="7"/>
      <c r="M28" s="7"/>
    </row>
    <row r="29" spans="1:13" ht="15" customHeight="1" thickBot="1" x14ac:dyDescent="0.25">
      <c r="A29" s="21" t="s">
        <v>55</v>
      </c>
      <c r="B29" s="21"/>
      <c r="C29" s="21"/>
      <c r="D29" s="20">
        <f>SUM(D23:D28)</f>
        <v>119</v>
      </c>
      <c r="E29" s="20"/>
      <c r="F29" s="20">
        <f>SUM(F23:F28)</f>
        <v>3570</v>
      </c>
      <c r="G29" s="7"/>
      <c r="H29" s="7"/>
      <c r="I29" s="7"/>
      <c r="J29" s="7"/>
      <c r="K29" s="7"/>
      <c r="L29" s="7"/>
      <c r="M29" s="7"/>
    </row>
    <row r="30" spans="1:13" ht="13.5" thickBot="1" x14ac:dyDescent="0.25">
      <c r="A30" s="36"/>
      <c r="B30" s="36"/>
      <c r="C30" s="36"/>
      <c r="D30" s="30"/>
      <c r="E30" s="37"/>
      <c r="F30" s="20"/>
    </row>
    <row r="31" spans="1:13" ht="15" customHeight="1" thickBot="1" x14ac:dyDescent="0.25">
      <c r="A31" s="38" t="s">
        <v>18</v>
      </c>
      <c r="B31" s="38"/>
      <c r="C31" s="38"/>
      <c r="D31" s="27"/>
      <c r="E31" s="28"/>
      <c r="F31" s="29">
        <f>F29+F21</f>
        <v>4287.58</v>
      </c>
    </row>
    <row r="32" spans="1:13" ht="13.5" thickBot="1" x14ac:dyDescent="0.25">
      <c r="A32" s="17"/>
      <c r="B32" s="17"/>
      <c r="C32" s="17"/>
      <c r="D32" s="21"/>
      <c r="E32" s="19"/>
      <c r="F32" s="20"/>
    </row>
    <row r="33" spans="1:6" ht="15" customHeight="1" thickBot="1" x14ac:dyDescent="0.25">
      <c r="A33" s="39" t="s">
        <v>32</v>
      </c>
      <c r="B33" s="39"/>
      <c r="C33" s="39"/>
      <c r="D33" s="39"/>
      <c r="E33" s="40"/>
      <c r="F33" s="41">
        <f>F31+F14</f>
        <v>15424.58</v>
      </c>
    </row>
    <row r="34" spans="1:6" x14ac:dyDescent="0.2">
      <c r="A34" s="7"/>
      <c r="B34" s="7"/>
      <c r="C34" s="7"/>
      <c r="D34" s="7"/>
      <c r="E34" s="9"/>
      <c r="F34" s="5"/>
    </row>
    <row r="35" spans="1:6" x14ac:dyDescent="0.2">
      <c r="A35" s="11" t="s">
        <v>204</v>
      </c>
      <c r="D35" s="7"/>
      <c r="E35" s="9"/>
      <c r="F35" s="5"/>
    </row>
    <row r="36" spans="1:6" x14ac:dyDescent="0.2">
      <c r="A36" s="10"/>
      <c r="B36" s="7"/>
      <c r="C36" s="7"/>
      <c r="D36" s="7"/>
      <c r="E36" s="9"/>
      <c r="F36" s="5"/>
    </row>
    <row r="37" spans="1:6" x14ac:dyDescent="0.2">
      <c r="A37" s="7"/>
      <c r="B37" s="7"/>
      <c r="C37" s="7"/>
      <c r="D37" s="7"/>
      <c r="E37" s="9"/>
      <c r="F37" s="5"/>
    </row>
    <row r="38" spans="1:6" x14ac:dyDescent="0.2">
      <c r="A38" s="7"/>
      <c r="B38" s="7"/>
      <c r="C38" s="7"/>
      <c r="D38" s="7"/>
      <c r="E38" s="9"/>
      <c r="F38" s="5"/>
    </row>
    <row r="39" spans="1:6" x14ac:dyDescent="0.2">
      <c r="A39" s="7"/>
      <c r="B39" s="7"/>
      <c r="C39" s="7"/>
      <c r="D39" s="7"/>
      <c r="E39" s="9"/>
      <c r="F39" s="5"/>
    </row>
    <row r="40" spans="1:6" x14ac:dyDescent="0.2">
      <c r="A40" s="7"/>
      <c r="B40" s="7"/>
      <c r="C40" s="7"/>
      <c r="D40" s="7"/>
      <c r="E40" s="9"/>
      <c r="F40" s="5"/>
    </row>
    <row r="41" spans="1:6" x14ac:dyDescent="0.2">
      <c r="A41" s="7"/>
      <c r="B41" s="7"/>
      <c r="C41" s="7"/>
      <c r="D41" s="7"/>
      <c r="E41" s="9"/>
      <c r="F41" s="5"/>
    </row>
    <row r="42" spans="1:6" x14ac:dyDescent="0.2">
      <c r="A42" s="7"/>
      <c r="B42" s="7"/>
      <c r="C42" s="7"/>
      <c r="D42" s="7"/>
      <c r="E42" s="9"/>
      <c r="F42" s="5"/>
    </row>
    <row r="43" spans="1:6" x14ac:dyDescent="0.2">
      <c r="A43" s="7"/>
      <c r="B43" s="7"/>
      <c r="C43" s="7"/>
      <c r="D43" s="7"/>
      <c r="E43" s="9"/>
      <c r="F43" s="5"/>
    </row>
    <row r="44" spans="1:6" x14ac:dyDescent="0.2">
      <c r="A44" s="7"/>
      <c r="B44" s="7"/>
      <c r="C44" s="7"/>
      <c r="D44" s="7"/>
      <c r="E44" s="9"/>
      <c r="F44" s="5"/>
    </row>
    <row r="45" spans="1:6" x14ac:dyDescent="0.2">
      <c r="A45" s="7"/>
      <c r="B45" s="7"/>
      <c r="C45" s="7"/>
      <c r="D45" s="7"/>
      <c r="E45" s="9"/>
      <c r="F45" s="5"/>
    </row>
  </sheetData>
  <protectedRanges>
    <protectedRange sqref="A2 D4 D6:D8 D10 D13 D16:D18 D23:D28" name="Bereich1"/>
  </protectedRanges>
  <mergeCells count="1">
    <mergeCell ref="A1:F1"/>
  </mergeCells>
  <phoneticPr fontId="6" type="noConversion"/>
  <pageMargins left="0.70866141732283472" right="0.70866141732283472" top="0.78740157480314965" bottom="0.74803149606299213" header="0.31496062992125984" footer="0.31496062992125984"/>
  <pageSetup paperSize="9" firstPageNumber="0" orientation="portrait" r:id="rId1"/>
  <headerFooter>
    <oddFooter>&amp;L&amp;G&amp;C© Copyright 2016 FiBL, Frick. Alle Rechte vorbehalten.</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I52"/>
  <sheetViews>
    <sheetView showGridLines="0" topLeftCell="A40" zoomScaleNormal="100" workbookViewId="0">
      <selection activeCell="E35" sqref="E35"/>
    </sheetView>
  </sheetViews>
  <sheetFormatPr baseColWidth="10" defaultRowHeight="12.75" x14ac:dyDescent="0.2"/>
  <cols>
    <col min="1" max="1" width="17.28515625" customWidth="1"/>
    <col min="2" max="2" width="11.42578125" customWidth="1"/>
    <col min="3" max="3" width="25.28515625" customWidth="1"/>
    <col min="4" max="4" width="5.42578125" customWidth="1"/>
    <col min="5" max="5" width="8.7109375" customWidth="1"/>
    <col min="6" max="6" width="10.42578125" style="1" customWidth="1"/>
    <col min="7" max="7" width="10.28515625" style="2" customWidth="1"/>
  </cols>
  <sheetData>
    <row r="1" spans="1:9" ht="25.15" customHeight="1" x14ac:dyDescent="0.2">
      <c r="A1" s="173" t="str">
        <f xml:space="preserve"> CONCATENATE("Aufbauphase bis Vollertrag 15 Jahre, ",Erstellung!D4," Bäume/ha")</f>
        <v>Aufbauphase bis Vollertrag 15 Jahre, 120 Bäume/ha</v>
      </c>
      <c r="B1" s="173"/>
      <c r="C1" s="173"/>
      <c r="D1" s="173"/>
      <c r="E1" s="173"/>
      <c r="F1" s="173"/>
      <c r="G1" s="173"/>
    </row>
    <row r="2" spans="1:9" ht="13.5" thickBot="1" x14ac:dyDescent="0.25">
      <c r="A2" s="17" t="str">
        <f>Erstellung!A2</f>
        <v>Variante mechanisiert, DZV Beiträge (QII + Vernetzung), Mostpäpfel, Bio Knospe</v>
      </c>
      <c r="B2" s="17"/>
      <c r="C2" s="17"/>
      <c r="D2" s="17"/>
      <c r="E2" s="17"/>
      <c r="F2" s="42"/>
      <c r="G2" s="43"/>
    </row>
    <row r="3" spans="1:9" ht="15" thickBot="1" x14ac:dyDescent="0.25">
      <c r="A3" s="13" t="s">
        <v>19</v>
      </c>
      <c r="B3" s="13"/>
      <c r="C3" s="13"/>
      <c r="D3" s="44" t="s">
        <v>125</v>
      </c>
      <c r="E3" s="44" t="s">
        <v>39</v>
      </c>
      <c r="F3" s="15" t="s">
        <v>139</v>
      </c>
      <c r="G3" s="45" t="s">
        <v>127</v>
      </c>
    </row>
    <row r="4" spans="1:9" ht="13.5" thickBot="1" x14ac:dyDescent="0.25">
      <c r="A4" s="17" t="s">
        <v>43</v>
      </c>
      <c r="B4" s="17" t="str">
        <f>CONCATENATE("Kompost (",Kosten!$D$12,")")</f>
        <v>Kompost (t)</v>
      </c>
      <c r="C4" s="17"/>
      <c r="D4" s="22">
        <v>1</v>
      </c>
      <c r="E4" s="22">
        <v>10</v>
      </c>
      <c r="F4" s="19">
        <f>Kosten!$E$12</f>
        <v>22</v>
      </c>
      <c r="G4" s="20">
        <f>D4*E4*F4</f>
        <v>220</v>
      </c>
      <c r="H4" s="132"/>
      <c r="I4" s="132"/>
    </row>
    <row r="5" spans="1:9" ht="13.5" thickBot="1" x14ac:dyDescent="0.25">
      <c r="A5" s="17" t="s">
        <v>57</v>
      </c>
      <c r="B5" s="17" t="s">
        <v>115</v>
      </c>
      <c r="C5" s="17" t="s">
        <v>163</v>
      </c>
      <c r="D5" s="22">
        <v>2</v>
      </c>
      <c r="E5" s="22">
        <v>2.5</v>
      </c>
      <c r="F5" s="19">
        <f>Kosten!$E$14</f>
        <v>20.36</v>
      </c>
      <c r="G5" s="20">
        <f>D5*E5*F5</f>
        <v>101.8</v>
      </c>
      <c r="H5" s="132"/>
      <c r="I5" s="132"/>
    </row>
    <row r="6" spans="1:9" ht="13.5" thickBot="1" x14ac:dyDescent="0.25">
      <c r="A6" s="17"/>
      <c r="B6" s="17"/>
      <c r="C6" s="17" t="s">
        <v>164</v>
      </c>
      <c r="D6" s="22">
        <v>1</v>
      </c>
      <c r="E6" s="22">
        <v>4</v>
      </c>
      <c r="F6" s="19">
        <f>Kosten!$E$15</f>
        <v>3.92</v>
      </c>
      <c r="G6" s="20">
        <f>D6*E6*F6</f>
        <v>15.68</v>
      </c>
      <c r="H6" s="132"/>
      <c r="I6" s="132"/>
    </row>
    <row r="7" spans="1:9" ht="13.5" thickBot="1" x14ac:dyDescent="0.25">
      <c r="A7" s="17"/>
      <c r="B7" s="17"/>
      <c r="C7" s="17" t="s">
        <v>166</v>
      </c>
      <c r="D7" s="22">
        <v>2</v>
      </c>
      <c r="E7" s="22">
        <v>8</v>
      </c>
      <c r="F7" s="19">
        <f>Kosten!$E$16</f>
        <v>11.14</v>
      </c>
      <c r="G7" s="20">
        <f>D7*E7*F7</f>
        <v>178.24</v>
      </c>
      <c r="H7" s="132"/>
      <c r="I7" s="132"/>
    </row>
    <row r="8" spans="1:9" ht="13.5" thickBot="1" x14ac:dyDescent="0.25">
      <c r="A8" s="46"/>
      <c r="B8" s="46" t="s">
        <v>116</v>
      </c>
      <c r="C8" s="46" t="s">
        <v>168</v>
      </c>
      <c r="D8" s="22">
        <v>1</v>
      </c>
      <c r="E8" s="22">
        <v>0.1</v>
      </c>
      <c r="F8" s="19">
        <f>Kosten!$E$19</f>
        <v>759</v>
      </c>
      <c r="G8" s="20">
        <f>D8*E8*F8</f>
        <v>75.900000000000006</v>
      </c>
      <c r="H8" s="135"/>
      <c r="I8" s="132"/>
    </row>
    <row r="9" spans="1:9" ht="13.5" thickBot="1" x14ac:dyDescent="0.25">
      <c r="A9" s="47" t="s">
        <v>172</v>
      </c>
      <c r="B9" s="46"/>
      <c r="C9" s="46"/>
      <c r="D9" s="17"/>
      <c r="E9" s="22">
        <v>5</v>
      </c>
      <c r="F9" s="19">
        <f>Kosten!$E$51</f>
        <v>30</v>
      </c>
      <c r="G9" s="20">
        <f>E9*F9</f>
        <v>150</v>
      </c>
      <c r="H9" s="132"/>
      <c r="I9" s="132"/>
    </row>
    <row r="10" spans="1:9" ht="13.5" thickBot="1" x14ac:dyDescent="0.25">
      <c r="A10" s="17" t="s">
        <v>20</v>
      </c>
      <c r="B10" s="17"/>
      <c r="C10" s="48"/>
      <c r="D10" s="17"/>
      <c r="E10" s="21"/>
      <c r="F10" s="19">
        <f>Kosten!$E$26</f>
        <v>500</v>
      </c>
      <c r="G10" s="20">
        <f>F10</f>
        <v>500</v>
      </c>
      <c r="H10" s="132"/>
      <c r="I10" s="132"/>
    </row>
    <row r="11" spans="1:9" ht="13.5" thickBot="1" x14ac:dyDescent="0.25">
      <c r="A11" s="17" t="s">
        <v>26</v>
      </c>
      <c r="B11" s="17"/>
      <c r="C11" s="17"/>
      <c r="D11" s="17"/>
      <c r="E11" s="22">
        <v>0.1</v>
      </c>
      <c r="F11" s="49">
        <f>Kosten!$E$23</f>
        <v>80</v>
      </c>
      <c r="G11" s="20">
        <f>E11*F11</f>
        <v>8</v>
      </c>
      <c r="H11" s="132"/>
      <c r="I11" s="132"/>
    </row>
    <row r="12" spans="1:9" ht="15" customHeight="1" x14ac:dyDescent="0.2">
      <c r="A12" s="50" t="s">
        <v>21</v>
      </c>
      <c r="B12" s="50"/>
      <c r="C12" s="50"/>
      <c r="D12" s="50"/>
      <c r="E12" s="50"/>
      <c r="F12" s="51"/>
      <c r="G12" s="52">
        <f>SUM(G4:G11)</f>
        <v>1249.6199999999999</v>
      </c>
      <c r="H12" s="132"/>
      <c r="I12" s="132"/>
    </row>
    <row r="13" spans="1:9" ht="13.5" thickBot="1" x14ac:dyDescent="0.25">
      <c r="A13" s="17"/>
      <c r="B13" s="17"/>
      <c r="C13" s="17"/>
      <c r="D13" s="17"/>
      <c r="E13" s="17"/>
      <c r="F13" s="42"/>
      <c r="G13" s="53"/>
      <c r="H13" s="132"/>
      <c r="I13" s="132"/>
    </row>
    <row r="14" spans="1:9" ht="15" thickBot="1" x14ac:dyDescent="0.25">
      <c r="A14" s="17" t="s">
        <v>7</v>
      </c>
      <c r="B14" s="17" t="s">
        <v>175</v>
      </c>
      <c r="C14" s="17"/>
      <c r="D14" s="22">
        <v>1</v>
      </c>
      <c r="E14" s="22">
        <v>2</v>
      </c>
      <c r="F14" s="49">
        <f>Kosten!$E$31</f>
        <v>46</v>
      </c>
      <c r="G14" s="20">
        <f>D14*E14*F14</f>
        <v>92</v>
      </c>
      <c r="H14" s="132"/>
      <c r="I14" s="132"/>
    </row>
    <row r="15" spans="1:9" ht="13.5" thickBot="1" x14ac:dyDescent="0.25">
      <c r="A15" s="17"/>
      <c r="B15" s="17" t="s">
        <v>176</v>
      </c>
      <c r="C15" s="17"/>
      <c r="D15" s="22">
        <v>5</v>
      </c>
      <c r="E15" s="22">
        <v>2</v>
      </c>
      <c r="F15" s="19">
        <f>Kosten!$E$37</f>
        <v>82.53</v>
      </c>
      <c r="G15" s="20">
        <f>D15*E15*F15</f>
        <v>825.3</v>
      </c>
      <c r="H15" s="132"/>
      <c r="I15" s="132"/>
    </row>
    <row r="16" spans="1:9" ht="13.5" thickBot="1" x14ac:dyDescent="0.25">
      <c r="A16" s="17"/>
      <c r="B16" s="17" t="s">
        <v>177</v>
      </c>
      <c r="C16" s="17"/>
      <c r="D16" s="17"/>
      <c r="E16" s="22">
        <v>10</v>
      </c>
      <c r="F16" s="49">
        <f>Kosten!$E$33</f>
        <v>37</v>
      </c>
      <c r="G16" s="20">
        <f t="shared" ref="G16:G22" si="0">E16*F16</f>
        <v>370</v>
      </c>
      <c r="H16" s="132"/>
      <c r="I16" s="132"/>
    </row>
    <row r="17" spans="1:9" ht="13.5" thickBot="1" x14ac:dyDescent="0.25">
      <c r="A17" s="17"/>
      <c r="B17" s="17" t="s">
        <v>36</v>
      </c>
      <c r="C17" s="17"/>
      <c r="D17" s="17"/>
      <c r="E17" s="22">
        <v>2</v>
      </c>
      <c r="F17" s="49">
        <f>Kosten!$E$39</f>
        <v>20</v>
      </c>
      <c r="G17" s="20">
        <f t="shared" si="0"/>
        <v>40</v>
      </c>
      <c r="H17" s="132"/>
      <c r="I17" s="132"/>
    </row>
    <row r="18" spans="1:9" ht="13.5" thickBot="1" x14ac:dyDescent="0.25">
      <c r="A18" s="17"/>
      <c r="B18" s="17" t="s">
        <v>178</v>
      </c>
      <c r="C18" s="17"/>
      <c r="D18" s="17"/>
      <c r="E18" s="22">
        <v>30</v>
      </c>
      <c r="F18" s="49">
        <f>Kosten!E40</f>
        <v>19</v>
      </c>
      <c r="G18" s="20">
        <f>E18*F18</f>
        <v>570</v>
      </c>
      <c r="H18" s="132"/>
      <c r="I18" s="132"/>
    </row>
    <row r="19" spans="1:9" ht="13.5" thickBot="1" x14ac:dyDescent="0.25">
      <c r="A19" s="17"/>
      <c r="B19" s="17" t="s">
        <v>111</v>
      </c>
      <c r="C19" s="17"/>
      <c r="D19" s="17"/>
      <c r="E19" s="22">
        <v>2</v>
      </c>
      <c r="F19" s="49">
        <f>Kosten!E36</f>
        <v>20</v>
      </c>
      <c r="G19" s="20">
        <f>E19*F19</f>
        <v>40</v>
      </c>
      <c r="H19" s="132"/>
      <c r="I19" s="132"/>
    </row>
    <row r="20" spans="1:9" ht="13.5" thickBot="1" x14ac:dyDescent="0.25">
      <c r="A20" s="17"/>
      <c r="B20" s="17" t="s">
        <v>179</v>
      </c>
      <c r="C20" s="17"/>
      <c r="D20" s="17"/>
      <c r="E20" s="22">
        <v>8</v>
      </c>
      <c r="F20" s="49">
        <f>Kosten!$E$43</f>
        <v>42</v>
      </c>
      <c r="G20" s="20">
        <f t="shared" si="0"/>
        <v>336</v>
      </c>
      <c r="H20" s="132"/>
      <c r="I20" s="132"/>
    </row>
    <row r="21" spans="1:9" ht="13.5" thickBot="1" x14ac:dyDescent="0.25">
      <c r="A21" s="17"/>
      <c r="B21" t="s">
        <v>180</v>
      </c>
      <c r="C21" s="17"/>
      <c r="D21" s="17"/>
      <c r="E21" s="22">
        <v>3</v>
      </c>
      <c r="F21" s="49">
        <f>Kosten!$E$41</f>
        <v>13</v>
      </c>
      <c r="G21" s="20">
        <f>E21*F21</f>
        <v>39</v>
      </c>
      <c r="H21" s="132"/>
      <c r="I21" s="132"/>
    </row>
    <row r="22" spans="1:9" ht="13.5" thickBot="1" x14ac:dyDescent="0.25">
      <c r="A22" s="17" t="s">
        <v>10</v>
      </c>
      <c r="B22" s="17" t="s">
        <v>181</v>
      </c>
      <c r="C22" s="17"/>
      <c r="D22" s="17"/>
      <c r="E22" s="22">
        <f>D14*E14+D15*E15+E16+E17+E21</f>
        <v>27</v>
      </c>
      <c r="F22" s="49">
        <f>Kosten!$E$45</f>
        <v>48</v>
      </c>
      <c r="G22" s="20">
        <f t="shared" si="0"/>
        <v>1296</v>
      </c>
      <c r="H22" s="132"/>
      <c r="I22" s="132"/>
    </row>
    <row r="23" spans="1:9" ht="15" customHeight="1" thickBot="1" x14ac:dyDescent="0.25">
      <c r="A23" s="21" t="s">
        <v>12</v>
      </c>
      <c r="B23" s="21"/>
      <c r="C23" s="21"/>
      <c r="D23" s="21"/>
      <c r="E23" s="54"/>
      <c r="F23" s="24"/>
      <c r="G23" s="26">
        <f>SUM(G14:G22)</f>
        <v>3608.3</v>
      </c>
      <c r="H23" s="132"/>
      <c r="I23" s="132"/>
    </row>
    <row r="24" spans="1:9" ht="13.5" thickBot="1" x14ac:dyDescent="0.25">
      <c r="A24" s="36"/>
      <c r="B24" s="36"/>
      <c r="C24" s="36"/>
      <c r="D24" s="36"/>
      <c r="E24" s="54"/>
      <c r="F24" s="24"/>
      <c r="G24" s="26"/>
      <c r="H24" s="132"/>
      <c r="I24" s="132"/>
    </row>
    <row r="25" spans="1:9" ht="15" customHeight="1" thickBot="1" x14ac:dyDescent="0.25">
      <c r="A25" s="55" t="s">
        <v>13</v>
      </c>
      <c r="B25" s="55"/>
      <c r="C25" s="55"/>
      <c r="D25" s="55"/>
      <c r="E25" s="54"/>
      <c r="F25" s="24"/>
      <c r="G25" s="26">
        <f>Kosten!E49</f>
        <v>700</v>
      </c>
      <c r="H25" s="132"/>
      <c r="I25" s="132"/>
    </row>
    <row r="26" spans="1:9" ht="13.5" thickBot="1" x14ac:dyDescent="0.25">
      <c r="A26" s="17"/>
      <c r="B26" s="17"/>
      <c r="C26" s="17"/>
      <c r="D26" s="17"/>
      <c r="E26" s="21"/>
      <c r="F26" s="19"/>
      <c r="G26" s="20"/>
      <c r="H26" s="132"/>
      <c r="I26" s="132"/>
    </row>
    <row r="27" spans="1:9" ht="15" thickBot="1" x14ac:dyDescent="0.25">
      <c r="A27" s="17" t="s">
        <v>14</v>
      </c>
      <c r="B27" s="17" t="s">
        <v>141</v>
      </c>
      <c r="C27" s="17"/>
      <c r="D27" s="17"/>
      <c r="E27" s="22">
        <v>30</v>
      </c>
      <c r="F27" s="19">
        <f>Kosten!$E$51</f>
        <v>30</v>
      </c>
      <c r="G27" s="20">
        <f>E27*F27</f>
        <v>900</v>
      </c>
      <c r="H27" s="132"/>
      <c r="I27" s="132"/>
    </row>
    <row r="28" spans="1:9" ht="15" thickBot="1" x14ac:dyDescent="0.25">
      <c r="A28" s="17"/>
      <c r="B28" s="17" t="s">
        <v>142</v>
      </c>
      <c r="C28" s="17"/>
      <c r="D28" s="17"/>
      <c r="E28" s="22">
        <v>8</v>
      </c>
      <c r="F28" s="19">
        <f>Kosten!$E$51</f>
        <v>30</v>
      </c>
      <c r="G28" s="20">
        <f>E28*F28</f>
        <v>240</v>
      </c>
      <c r="H28" s="132"/>
      <c r="I28" s="132"/>
    </row>
    <row r="29" spans="1:9" ht="13.5" thickBot="1" x14ac:dyDescent="0.25">
      <c r="A29" s="17"/>
      <c r="B29" s="17" t="s">
        <v>114</v>
      </c>
      <c r="C29" s="17"/>
      <c r="D29" s="17"/>
      <c r="E29" s="22">
        <v>10</v>
      </c>
      <c r="F29" s="19">
        <f>Kosten!$E$51</f>
        <v>30</v>
      </c>
      <c r="G29" s="20">
        <f>E29*F29</f>
        <v>300</v>
      </c>
      <c r="H29" s="132"/>
      <c r="I29" s="132"/>
    </row>
    <row r="30" spans="1:9" ht="13.5" thickBot="1" x14ac:dyDescent="0.25">
      <c r="A30" s="17"/>
      <c r="B30" s="17" t="s">
        <v>34</v>
      </c>
      <c r="C30" s="17"/>
      <c r="D30" s="17"/>
      <c r="E30" s="22">
        <v>10</v>
      </c>
      <c r="F30" s="19">
        <f>Kosten!$E$51</f>
        <v>30</v>
      </c>
      <c r="G30" s="20">
        <f t="shared" ref="G30:G37" si="1">E30*F30</f>
        <v>300</v>
      </c>
      <c r="H30" s="132"/>
      <c r="I30" s="132"/>
    </row>
    <row r="31" spans="1:9" ht="13.5" thickBot="1" x14ac:dyDescent="0.25">
      <c r="A31" s="17"/>
      <c r="B31" s="17" t="s">
        <v>35</v>
      </c>
      <c r="C31" s="17"/>
      <c r="D31" s="17"/>
      <c r="E31" s="22">
        <v>50</v>
      </c>
      <c r="F31" s="19">
        <f>Kosten!$E$51</f>
        <v>30</v>
      </c>
      <c r="G31" s="20">
        <f t="shared" si="1"/>
        <v>1500</v>
      </c>
      <c r="H31" s="132"/>
      <c r="I31" s="132"/>
    </row>
    <row r="32" spans="1:9" ht="13.5" thickBot="1" x14ac:dyDescent="0.25">
      <c r="A32" s="17"/>
      <c r="B32" s="17" t="s">
        <v>109</v>
      </c>
      <c r="C32" s="17"/>
      <c r="D32" s="17"/>
      <c r="E32" s="22">
        <v>5</v>
      </c>
      <c r="F32" s="19">
        <f>Kosten!$E$51</f>
        <v>30</v>
      </c>
      <c r="G32" s="20">
        <f t="shared" si="1"/>
        <v>150</v>
      </c>
      <c r="H32" s="132"/>
      <c r="I32" s="132"/>
    </row>
    <row r="33" spans="1:9" ht="13.5" thickBot="1" x14ac:dyDescent="0.25">
      <c r="A33" s="17"/>
      <c r="B33" s="17" t="s">
        <v>44</v>
      </c>
      <c r="C33" s="17"/>
      <c r="D33" s="17"/>
      <c r="E33" s="22">
        <v>10</v>
      </c>
      <c r="F33" s="19">
        <f>Kosten!$E$51</f>
        <v>30</v>
      </c>
      <c r="G33" s="20">
        <f t="shared" si="1"/>
        <v>300</v>
      </c>
      <c r="H33" s="132"/>
      <c r="I33" s="132"/>
    </row>
    <row r="34" spans="1:9" ht="15" thickBot="1" x14ac:dyDescent="0.25">
      <c r="A34" s="17"/>
      <c r="B34" s="17" t="s">
        <v>143</v>
      </c>
      <c r="C34" s="17"/>
      <c r="D34" s="17"/>
      <c r="E34" s="22">
        <v>20</v>
      </c>
      <c r="F34" s="19">
        <f>Kosten!$E$51</f>
        <v>30</v>
      </c>
      <c r="G34" s="20">
        <f t="shared" si="1"/>
        <v>600</v>
      </c>
      <c r="H34" s="132"/>
      <c r="I34" s="132"/>
    </row>
    <row r="35" spans="1:9" ht="15" thickBot="1" x14ac:dyDescent="0.25">
      <c r="A35" s="17"/>
      <c r="B35" s="17" t="s">
        <v>144</v>
      </c>
      <c r="C35" s="17"/>
      <c r="D35" s="17"/>
      <c r="E35" s="22">
        <v>15</v>
      </c>
      <c r="F35" s="19">
        <f>Kosten!$E$51</f>
        <v>30</v>
      </c>
      <c r="G35" s="20">
        <f t="shared" si="1"/>
        <v>450</v>
      </c>
      <c r="I35" s="132"/>
    </row>
    <row r="36" spans="1:9" ht="13.5" thickBot="1" x14ac:dyDescent="0.25">
      <c r="A36" s="17"/>
      <c r="B36" s="17" t="str">
        <f>CONCATENATE("Abtransport zur Mosterei (Mittel ",TEXT(Kosten!E63*120,"0")," kg/ha)")</f>
        <v>Abtransport zur Mosterei (Mittel 6240 kg/ha)</v>
      </c>
      <c r="C36" s="17"/>
      <c r="D36" s="17"/>
      <c r="E36" s="22">
        <v>8</v>
      </c>
      <c r="F36" s="19">
        <f>Kosten!$E$51</f>
        <v>30</v>
      </c>
      <c r="G36" s="20">
        <f>E36*F36</f>
        <v>240</v>
      </c>
      <c r="I36" s="132"/>
    </row>
    <row r="37" spans="1:9" ht="13.5" thickBot="1" x14ac:dyDescent="0.25">
      <c r="A37" s="17" t="s">
        <v>22</v>
      </c>
      <c r="B37" s="17" t="s">
        <v>23</v>
      </c>
      <c r="C37" s="17"/>
      <c r="D37" s="17"/>
      <c r="E37" s="21">
        <f>(0.1)*(SUM(E27:E36))</f>
        <v>16.600000000000001</v>
      </c>
      <c r="F37" s="19">
        <f>Kosten!$E$51</f>
        <v>30</v>
      </c>
      <c r="G37" s="20">
        <f t="shared" si="1"/>
        <v>498.00000000000006</v>
      </c>
      <c r="H37" s="132"/>
      <c r="I37" s="132"/>
    </row>
    <row r="38" spans="1:9" ht="13.5" thickBot="1" x14ac:dyDescent="0.25">
      <c r="A38" s="17"/>
      <c r="B38" s="17"/>
      <c r="C38" s="17"/>
      <c r="D38" s="17"/>
      <c r="E38" s="21"/>
      <c r="F38" s="19"/>
      <c r="G38" s="20"/>
      <c r="I38" s="132"/>
    </row>
    <row r="39" spans="1:9" ht="15" customHeight="1" thickBot="1" x14ac:dyDescent="0.25">
      <c r="A39" s="21" t="s">
        <v>55</v>
      </c>
      <c r="B39" s="56"/>
      <c r="C39" s="56"/>
      <c r="D39" s="56"/>
      <c r="E39" s="20">
        <f>SUM(E27:E37)</f>
        <v>182.6</v>
      </c>
      <c r="F39" s="20"/>
      <c r="G39" s="20">
        <f>SUM(G27:G38)</f>
        <v>5478</v>
      </c>
      <c r="I39" s="132"/>
    </row>
    <row r="40" spans="1:9" ht="13.5" thickBot="1" x14ac:dyDescent="0.25">
      <c r="A40" s="17"/>
      <c r="B40" s="17"/>
      <c r="C40" s="17"/>
      <c r="D40" s="17"/>
      <c r="E40" s="17"/>
      <c r="F40" s="42"/>
      <c r="G40" s="53"/>
    </row>
    <row r="41" spans="1:9" ht="15" customHeight="1" thickBot="1" x14ac:dyDescent="0.25">
      <c r="A41" s="57" t="s">
        <v>105</v>
      </c>
      <c r="B41" s="57"/>
      <c r="C41" s="57"/>
      <c r="D41" s="57"/>
      <c r="E41" s="57"/>
      <c r="F41" s="58"/>
      <c r="G41" s="59">
        <f>G39+G25+G23</f>
        <v>9786.2999999999993</v>
      </c>
    </row>
    <row r="42" spans="1:9" ht="13.5" thickBot="1" x14ac:dyDescent="0.25">
      <c r="A42" s="17"/>
      <c r="B42" s="17"/>
      <c r="C42" s="17"/>
      <c r="D42" s="17"/>
      <c r="E42" s="17"/>
      <c r="F42" s="42"/>
      <c r="G42" s="53"/>
    </row>
    <row r="43" spans="1:9" ht="15" customHeight="1" thickBot="1" x14ac:dyDescent="0.25">
      <c r="A43" s="13" t="s">
        <v>24</v>
      </c>
      <c r="B43" s="13"/>
      <c r="C43" s="13"/>
      <c r="D43" s="13"/>
      <c r="E43" s="13"/>
      <c r="F43" s="60"/>
      <c r="G43" s="61">
        <f>G41+G12</f>
        <v>11035.919999999998</v>
      </c>
    </row>
    <row r="45" spans="1:9" x14ac:dyDescent="0.2">
      <c r="A45" t="s">
        <v>204</v>
      </c>
    </row>
    <row r="47" spans="1:9" ht="14.25" x14ac:dyDescent="0.2">
      <c r="A47" t="s">
        <v>126</v>
      </c>
    </row>
    <row r="48" spans="1:9" ht="14.25" x14ac:dyDescent="0.2">
      <c r="A48" t="s">
        <v>140</v>
      </c>
    </row>
    <row r="49" spans="1:1" ht="14.25" x14ac:dyDescent="0.2">
      <c r="A49" t="s">
        <v>145</v>
      </c>
    </row>
    <row r="50" spans="1:1" ht="14.25" x14ac:dyDescent="0.2">
      <c r="A50" t="s">
        <v>146</v>
      </c>
    </row>
    <row r="51" spans="1:1" ht="14.25" x14ac:dyDescent="0.2">
      <c r="A51" t="s">
        <v>147</v>
      </c>
    </row>
    <row r="52" spans="1:1" ht="14.25" x14ac:dyDescent="0.2">
      <c r="A52" t="s">
        <v>148</v>
      </c>
    </row>
  </sheetData>
  <protectedRanges>
    <protectedRange sqref="E9 E27:E36 D4:E8" name="Bereich1"/>
    <protectedRange sqref="E11" name="Bereich1_1"/>
    <protectedRange sqref="D14:D15" name="Bereich1_4"/>
    <protectedRange sqref="E14:E22" name="Bereich1_2"/>
  </protectedRanges>
  <mergeCells count="1">
    <mergeCell ref="A1:G1"/>
  </mergeCells>
  <phoneticPr fontId="6" type="noConversion"/>
  <pageMargins left="0.70866141732283472" right="0.70866141732283472" top="0.78740157480314965" bottom="0.74803149606299213" header="0.31496062992125984" footer="0.31496062992125984"/>
  <pageSetup paperSize="9" firstPageNumber="0" orientation="portrait" r:id="rId1"/>
  <headerFooter>
    <oddFooter>&amp;L&amp;G&amp;C© Copyright 2016 FiBL, Frick. Alle Rechte vorbehalten.</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dimension ref="A1:H38"/>
  <sheetViews>
    <sheetView showGridLines="0" showRowColHeaders="0" topLeftCell="A19" zoomScaleNormal="100" workbookViewId="0">
      <selection activeCell="F14" sqref="F14"/>
    </sheetView>
  </sheetViews>
  <sheetFormatPr baseColWidth="10" defaultRowHeight="12.75" x14ac:dyDescent="0.2"/>
  <cols>
    <col min="1" max="1" width="15.42578125" customWidth="1"/>
    <col min="2" max="2" width="26.7109375" customWidth="1"/>
    <col min="3" max="3" width="8.42578125" customWidth="1"/>
    <col min="4" max="5" width="11.42578125" customWidth="1"/>
    <col min="6" max="6" width="11.42578125" style="4" customWidth="1"/>
  </cols>
  <sheetData>
    <row r="1" spans="1:8" s="129" customFormat="1" ht="25.15" customHeight="1" x14ac:dyDescent="0.2">
      <c r="A1" s="127" t="str">
        <f>CONCATENATE("Obstanlagewert: Aufbauphase nach ",C6," Jahren")</f>
        <v>Obstanlagewert: Aufbauphase nach 15 Jahren</v>
      </c>
      <c r="B1" s="127"/>
      <c r="C1" s="127"/>
      <c r="D1" s="127"/>
      <c r="E1" s="127"/>
      <c r="F1" s="128"/>
    </row>
    <row r="2" spans="1:8" ht="13.5" thickBot="1" x14ac:dyDescent="0.25">
      <c r="A2" s="17" t="str">
        <f>Erstellung!A2</f>
        <v>Variante mechanisiert, DZV Beiträge (QII + Vernetzung), Mostpäpfel, Bio Knospe</v>
      </c>
      <c r="B2" s="17"/>
      <c r="C2" s="17"/>
      <c r="D2" s="17"/>
      <c r="E2" s="17"/>
      <c r="F2" s="62"/>
      <c r="H2" s="132"/>
    </row>
    <row r="3" spans="1:8" ht="16.149999999999999" customHeight="1" thickBot="1" x14ac:dyDescent="0.25">
      <c r="A3" s="13"/>
      <c r="B3" s="13"/>
      <c r="C3" s="44" t="s">
        <v>45</v>
      </c>
      <c r="D3" s="44" t="s">
        <v>0</v>
      </c>
      <c r="E3" s="14" t="s">
        <v>124</v>
      </c>
      <c r="F3" s="63" t="s">
        <v>128</v>
      </c>
      <c r="H3" s="132"/>
    </row>
    <row r="4" spans="1:8" ht="13.5" thickBot="1" x14ac:dyDescent="0.25">
      <c r="A4" s="17" t="str">
        <f>Erstellung!A33</f>
        <v>Total Erstellungskosten</v>
      </c>
      <c r="B4" s="17"/>
      <c r="C4" s="21"/>
      <c r="D4" s="21"/>
      <c r="E4" s="49">
        <f>Erstellung!F33</f>
        <v>15424.58</v>
      </c>
      <c r="F4" s="20">
        <f>E4</f>
        <v>15424.58</v>
      </c>
      <c r="H4" s="132"/>
    </row>
    <row r="5" spans="1:8" x14ac:dyDescent="0.2">
      <c r="A5" s="17"/>
      <c r="B5" s="17"/>
      <c r="C5" s="21"/>
      <c r="D5" s="21"/>
      <c r="E5" s="21"/>
      <c r="F5" s="20"/>
      <c r="H5" s="132"/>
    </row>
    <row r="6" spans="1:8" x14ac:dyDescent="0.2">
      <c r="A6" s="17" t="str">
        <f>Aufbauphase!A43</f>
        <v>Total Bildung Obstanlagewert / Jahr</v>
      </c>
      <c r="B6" s="17"/>
      <c r="C6" s="22">
        <v>15</v>
      </c>
      <c r="D6" s="21"/>
      <c r="E6" s="49">
        <f>Aufbauphase!$G$43</f>
        <v>11035.919999999998</v>
      </c>
      <c r="F6" s="20">
        <f>C6*E6</f>
        <v>165538.79999999999</v>
      </c>
      <c r="H6" s="132"/>
    </row>
    <row r="7" spans="1:8" x14ac:dyDescent="0.2">
      <c r="A7" s="17"/>
      <c r="B7" s="17"/>
      <c r="C7" s="21"/>
      <c r="D7" s="21"/>
      <c r="E7" s="21"/>
      <c r="F7" s="20"/>
      <c r="H7" s="132"/>
    </row>
    <row r="8" spans="1:8" ht="16.149999999999999" customHeight="1" x14ac:dyDescent="0.2">
      <c r="A8" s="21" t="s">
        <v>52</v>
      </c>
      <c r="B8" s="21"/>
      <c r="C8" s="21"/>
      <c r="D8" s="19"/>
      <c r="E8" s="21"/>
      <c r="F8" s="20">
        <f>F6+F4</f>
        <v>180963.37999999998</v>
      </c>
      <c r="H8" s="132"/>
    </row>
    <row r="9" spans="1:8" x14ac:dyDescent="0.2">
      <c r="A9" s="17"/>
      <c r="B9" s="17"/>
      <c r="C9" s="17"/>
      <c r="D9" s="17"/>
      <c r="E9" s="17"/>
      <c r="F9" s="53"/>
      <c r="H9" s="132"/>
    </row>
    <row r="10" spans="1:8" x14ac:dyDescent="0.2">
      <c r="A10" s="17"/>
      <c r="B10" s="17"/>
      <c r="C10" s="17"/>
      <c r="D10" s="17"/>
      <c r="E10" s="17"/>
      <c r="F10" s="53"/>
      <c r="H10" s="132"/>
    </row>
    <row r="11" spans="1:8" ht="13.5" thickBot="1" x14ac:dyDescent="0.25">
      <c r="A11" s="17"/>
      <c r="B11" s="17"/>
      <c r="C11" s="17"/>
      <c r="D11" s="17"/>
      <c r="E11" s="17"/>
      <c r="F11" s="53"/>
      <c r="H11" s="132"/>
    </row>
    <row r="12" spans="1:8" ht="16.5" customHeight="1" thickBot="1" x14ac:dyDescent="0.25">
      <c r="A12" s="174" t="s">
        <v>120</v>
      </c>
      <c r="B12" s="175"/>
      <c r="C12" s="21">
        <f>$C$6</f>
        <v>15</v>
      </c>
      <c r="D12" s="20">
        <f>Kosten!E64</f>
        <v>6240</v>
      </c>
      <c r="E12" s="64">
        <v>0.39</v>
      </c>
      <c r="F12" s="20">
        <f>C12*D12*E12</f>
        <v>36504</v>
      </c>
      <c r="H12" s="137"/>
    </row>
    <row r="13" spans="1:8" ht="16.5" customHeight="1" thickBot="1" x14ac:dyDescent="0.25">
      <c r="A13" s="174" t="s">
        <v>99</v>
      </c>
      <c r="B13" s="175"/>
      <c r="C13" s="21">
        <f>$C$6</f>
        <v>15</v>
      </c>
      <c r="D13" s="20">
        <f>Kosten!E64</f>
        <v>6240</v>
      </c>
      <c r="E13" s="65">
        <v>0.01</v>
      </c>
      <c r="F13" s="20">
        <f>-C13*D13*E13</f>
        <v>-936</v>
      </c>
      <c r="G13" s="132"/>
      <c r="H13" s="132"/>
    </row>
    <row r="14" spans="1:8" x14ac:dyDescent="0.2">
      <c r="A14" s="17"/>
      <c r="B14" s="17"/>
      <c r="C14" s="21"/>
      <c r="D14" s="21"/>
      <c r="E14" s="21"/>
      <c r="F14" s="20"/>
      <c r="H14" s="132"/>
    </row>
    <row r="15" spans="1:8" x14ac:dyDescent="0.2">
      <c r="A15" s="17" t="s">
        <v>41</v>
      </c>
      <c r="B15" s="17"/>
      <c r="C15" s="21"/>
      <c r="D15" s="21"/>
      <c r="E15" s="21"/>
      <c r="F15" s="20"/>
      <c r="H15" s="132"/>
    </row>
    <row r="16" spans="1:8" x14ac:dyDescent="0.2">
      <c r="A16" s="17"/>
      <c r="B16" s="17"/>
      <c r="C16" s="21"/>
      <c r="D16" s="21"/>
      <c r="E16" s="21"/>
      <c r="F16" s="20"/>
      <c r="H16" s="132"/>
    </row>
    <row r="17" spans="1:8" x14ac:dyDescent="0.2">
      <c r="A17" s="17" t="s">
        <v>96</v>
      </c>
      <c r="B17" s="17"/>
      <c r="C17" s="21">
        <f>$C$6</f>
        <v>15</v>
      </c>
      <c r="D17" s="19">
        <f>Erstellung!$D$4</f>
        <v>120</v>
      </c>
      <c r="E17" s="49">
        <f>H32</f>
        <v>30</v>
      </c>
      <c r="F17" s="20">
        <f>C17*D17*E17</f>
        <v>54000</v>
      </c>
      <c r="H17" s="132"/>
    </row>
    <row r="18" spans="1:8" x14ac:dyDescent="0.2">
      <c r="A18" s="17" t="s">
        <v>152</v>
      </c>
      <c r="B18" s="17"/>
      <c r="C18" s="21">
        <v>15</v>
      </c>
      <c r="D18" s="21">
        <v>120</v>
      </c>
      <c r="E18" s="21">
        <v>13.5</v>
      </c>
      <c r="F18" s="20">
        <f>C18*D18*E18</f>
        <v>24300</v>
      </c>
      <c r="H18" s="132"/>
    </row>
    <row r="19" spans="1:8" x14ac:dyDescent="0.2">
      <c r="A19" s="17" t="s">
        <v>95</v>
      </c>
      <c r="B19" s="17"/>
      <c r="C19" s="21">
        <f>$C$6</f>
        <v>15</v>
      </c>
      <c r="D19" s="21"/>
      <c r="E19" s="66">
        <f>Kosten!$E$57</f>
        <v>200</v>
      </c>
      <c r="F19" s="20">
        <f>C19*E19</f>
        <v>3000</v>
      </c>
      <c r="G19" s="132"/>
      <c r="H19" s="132"/>
    </row>
    <row r="20" spans="1:8" ht="13.5" thickBot="1" x14ac:dyDescent="0.25">
      <c r="A20" s="17"/>
      <c r="B20" s="17"/>
      <c r="C20" s="21"/>
      <c r="D20" s="21"/>
      <c r="E20" s="21"/>
      <c r="F20" s="20"/>
      <c r="H20" s="132"/>
    </row>
    <row r="21" spans="1:8" ht="16.149999999999999" customHeight="1" thickBot="1" x14ac:dyDescent="0.25">
      <c r="A21" s="21" t="s">
        <v>51</v>
      </c>
      <c r="B21" s="21"/>
      <c r="C21" s="21"/>
      <c r="D21" s="21"/>
      <c r="E21" s="21"/>
      <c r="F21" s="20">
        <f>SUM(F12:F20)</f>
        <v>116868</v>
      </c>
      <c r="H21" s="132"/>
    </row>
    <row r="22" spans="1:8" ht="13.5" thickBot="1" x14ac:dyDescent="0.25">
      <c r="A22" s="17"/>
      <c r="B22" s="17"/>
      <c r="C22" s="21"/>
      <c r="D22" s="21"/>
      <c r="E22" s="21"/>
      <c r="F22" s="20"/>
      <c r="H22" s="132"/>
    </row>
    <row r="23" spans="1:8" ht="16.149999999999999" customHeight="1" thickBot="1" x14ac:dyDescent="0.25">
      <c r="A23" s="67" t="s">
        <v>119</v>
      </c>
      <c r="B23" s="67"/>
      <c r="C23" s="67"/>
      <c r="D23" s="67"/>
      <c r="E23" s="67"/>
      <c r="F23" s="130">
        <f>F21-F8</f>
        <v>-64095.379999999976</v>
      </c>
      <c r="H23" s="132"/>
    </row>
    <row r="24" spans="1:8" x14ac:dyDescent="0.2">
      <c r="A24" s="17"/>
      <c r="B24" s="17"/>
      <c r="C24" s="17"/>
      <c r="D24" s="17"/>
      <c r="E24" s="17"/>
      <c r="F24" s="62"/>
      <c r="H24" s="132"/>
    </row>
    <row r="25" spans="1:8" x14ac:dyDescent="0.2">
      <c r="A25" s="17"/>
      <c r="B25" s="17"/>
      <c r="C25" s="17"/>
      <c r="D25" s="17"/>
      <c r="E25" s="17"/>
      <c r="F25" s="62"/>
    </row>
    <row r="26" spans="1:8" ht="38.25" x14ac:dyDescent="0.2">
      <c r="A26" s="68"/>
      <c r="B26" s="68"/>
      <c r="C26" s="17"/>
      <c r="D26" s="142" t="s">
        <v>185</v>
      </c>
      <c r="E26" s="133"/>
      <c r="F26" s="143" t="s">
        <v>182</v>
      </c>
      <c r="G26" s="144" t="s">
        <v>183</v>
      </c>
      <c r="H26" s="144" t="s">
        <v>184</v>
      </c>
    </row>
    <row r="27" spans="1:8" ht="13.5" thickBot="1" x14ac:dyDescent="0.25">
      <c r="A27" s="17"/>
      <c r="B27" s="17"/>
      <c r="C27" s="17"/>
      <c r="D27" s="17" t="s">
        <v>106</v>
      </c>
      <c r="E27" s="17"/>
      <c r="F27" s="69">
        <v>13.5</v>
      </c>
      <c r="G27" s="138">
        <v>0.5</v>
      </c>
      <c r="H27" s="69">
        <f>F27*G27</f>
        <v>6.75</v>
      </c>
    </row>
    <row r="28" spans="1:8" ht="13.5" thickBot="1" x14ac:dyDescent="0.25">
      <c r="A28" s="17"/>
      <c r="B28" s="62"/>
      <c r="C28" s="17"/>
      <c r="D28" s="17" t="s">
        <v>107</v>
      </c>
      <c r="E28" s="17"/>
      <c r="F28" s="70">
        <v>31.5</v>
      </c>
      <c r="G28" s="139">
        <v>0.5</v>
      </c>
      <c r="H28" s="70">
        <f t="shared" ref="H28:H31" si="0">F28*G28</f>
        <v>15.75</v>
      </c>
    </row>
    <row r="29" spans="1:8" ht="15" thickBot="1" x14ac:dyDescent="0.25">
      <c r="A29" s="17"/>
      <c r="B29" s="62"/>
      <c r="C29" s="17"/>
      <c r="D29" s="17" t="s">
        <v>191</v>
      </c>
      <c r="E29" s="17"/>
      <c r="F29" s="70">
        <v>0</v>
      </c>
      <c r="G29" s="139"/>
      <c r="H29" s="70">
        <f t="shared" si="0"/>
        <v>0</v>
      </c>
    </row>
    <row r="30" spans="1:8" ht="13.5" thickBot="1" x14ac:dyDescent="0.25">
      <c r="A30" s="17"/>
      <c r="B30" s="62"/>
      <c r="C30" s="17"/>
      <c r="D30" s="17" t="s">
        <v>53</v>
      </c>
      <c r="E30" s="17"/>
      <c r="F30" s="70">
        <v>5</v>
      </c>
      <c r="G30" s="139">
        <v>0.5</v>
      </c>
      <c r="H30" s="70">
        <f t="shared" si="0"/>
        <v>2.5</v>
      </c>
    </row>
    <row r="31" spans="1:8" x14ac:dyDescent="0.2">
      <c r="A31" s="17"/>
      <c r="B31" s="62"/>
      <c r="C31" s="17"/>
      <c r="D31" s="17" t="s">
        <v>121</v>
      </c>
      <c r="E31" s="17"/>
      <c r="F31" s="71">
        <v>10</v>
      </c>
      <c r="G31" s="140">
        <v>0.5</v>
      </c>
      <c r="H31" s="71">
        <f t="shared" si="0"/>
        <v>5</v>
      </c>
    </row>
    <row r="32" spans="1:8" x14ac:dyDescent="0.2">
      <c r="A32" s="17"/>
      <c r="B32" s="62"/>
      <c r="C32" s="17"/>
      <c r="D32" s="141" t="s">
        <v>110</v>
      </c>
      <c r="E32" s="17"/>
      <c r="F32" s="42">
        <f>F28+F27+F29+F30+F31</f>
        <v>60</v>
      </c>
      <c r="H32" s="148">
        <f>SUM(H27:H31)</f>
        <v>30</v>
      </c>
    </row>
    <row r="35" spans="1:6" ht="14.25" x14ac:dyDescent="0.2">
      <c r="A35" t="s">
        <v>192</v>
      </c>
    </row>
    <row r="36" spans="1:6" x14ac:dyDescent="0.2">
      <c r="E36" s="1"/>
      <c r="F36" s="2"/>
    </row>
    <row r="37" spans="1:6" x14ac:dyDescent="0.2">
      <c r="A37" t="s">
        <v>204</v>
      </c>
      <c r="E37" s="1"/>
      <c r="F37" s="2"/>
    </row>
    <row r="38" spans="1:6" x14ac:dyDescent="0.2">
      <c r="E38" s="1"/>
      <c r="F38" s="2"/>
    </row>
  </sheetData>
  <protectedRanges>
    <protectedRange sqref="F27:F31 C6" name="Bereich1"/>
  </protectedRanges>
  <mergeCells count="2">
    <mergeCell ref="A12:B12"/>
    <mergeCell ref="A13:B13"/>
  </mergeCells>
  <phoneticPr fontId="6" type="noConversion"/>
  <pageMargins left="0.70866141732283472" right="0.70866141732283472" top="0.78740157480314965" bottom="0.74803149606299213" header="0.31496062992125984" footer="0.31496062992125984"/>
  <pageSetup paperSize="9" firstPageNumber="0" orientation="portrait" r:id="rId1"/>
  <headerFooter>
    <oddFooter>&amp;L&amp;G&amp;C© Copyright 2016 FiBL, Frick. Alle Rechte vorbehalten.</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J71"/>
  <sheetViews>
    <sheetView showGridLines="0" tabSelected="1" topLeftCell="A61" zoomScale="132" zoomScaleNormal="132" workbookViewId="0">
      <selection activeCell="F64" sqref="F64"/>
    </sheetView>
  </sheetViews>
  <sheetFormatPr baseColWidth="10" defaultRowHeight="12.75" x14ac:dyDescent="0.2"/>
  <cols>
    <col min="1" max="1" width="12.7109375" customWidth="1"/>
    <col min="2" max="2" width="42.42578125" customWidth="1"/>
    <col min="3" max="3" width="5.42578125" customWidth="1"/>
    <col min="4" max="4" width="7.42578125" customWidth="1"/>
    <col min="5" max="5" width="10.140625" customWidth="1"/>
    <col min="6" max="6" width="9.42578125" customWidth="1"/>
    <col min="7" max="7" width="9.7109375" customWidth="1"/>
  </cols>
  <sheetData>
    <row r="1" spans="1:10" s="129" customFormat="1" ht="25.15" customHeight="1" x14ac:dyDescent="0.2">
      <c r="A1" s="127" t="str">
        <f>CONCATENATE("Ertragsphase ",Erstellung!D4," Bäume/ha, ",D6," Ertragsjahre")</f>
        <v>Ertragsphase 120 Bäume/ha, 40 Ertragsjahre</v>
      </c>
      <c r="B1" s="127"/>
      <c r="C1" s="127"/>
      <c r="D1" s="127"/>
      <c r="E1" s="127"/>
      <c r="F1" s="127"/>
      <c r="G1" s="127"/>
    </row>
    <row r="2" spans="1:10" ht="18.75" thickBot="1" x14ac:dyDescent="0.25">
      <c r="A2" s="17" t="str">
        <f>Erstellung!A2</f>
        <v>Variante mechanisiert, DZV Beiträge (QII + Vernetzung), Mostpäpfel, Bio Knospe</v>
      </c>
      <c r="B2" s="17"/>
      <c r="C2" s="17"/>
      <c r="D2" s="17"/>
      <c r="E2" s="17"/>
      <c r="F2" s="17"/>
      <c r="G2" s="72"/>
      <c r="I2" s="129"/>
      <c r="J2" s="129"/>
    </row>
    <row r="3" spans="1:10" ht="26.25" thickBot="1" x14ac:dyDescent="0.25">
      <c r="A3" s="13" t="s">
        <v>25</v>
      </c>
      <c r="B3" s="13"/>
      <c r="C3" s="44" t="s">
        <v>125</v>
      </c>
      <c r="D3" s="14" t="s">
        <v>0</v>
      </c>
      <c r="E3" s="147" t="s">
        <v>58</v>
      </c>
      <c r="F3" s="14" t="s">
        <v>187</v>
      </c>
      <c r="G3" s="14" t="s">
        <v>139</v>
      </c>
      <c r="H3" s="14" t="s">
        <v>127</v>
      </c>
      <c r="I3" s="129"/>
      <c r="J3" s="129"/>
    </row>
    <row r="4" spans="1:10" ht="18" x14ac:dyDescent="0.2">
      <c r="A4" s="73" t="s">
        <v>47</v>
      </c>
      <c r="B4" s="73"/>
      <c r="C4" s="73"/>
      <c r="D4" s="74">
        <f>Kosten!$E$65</f>
        <v>25000</v>
      </c>
      <c r="E4" s="74"/>
      <c r="F4" s="74"/>
      <c r="G4" s="75">
        <v>0.39</v>
      </c>
      <c r="H4" s="74">
        <f>D4*G4</f>
        <v>9750</v>
      </c>
      <c r="I4" s="129"/>
      <c r="J4" s="129"/>
    </row>
    <row r="5" spans="1:10" s="3" customFormat="1" ht="18.75" thickBot="1" x14ac:dyDescent="0.25">
      <c r="A5" s="76" t="s">
        <v>48</v>
      </c>
      <c r="B5" s="46"/>
      <c r="C5" s="46"/>
      <c r="D5" s="46"/>
      <c r="E5" s="46"/>
      <c r="F5" s="46"/>
      <c r="G5" s="46"/>
      <c r="H5" s="77">
        <f>H4</f>
        <v>9750</v>
      </c>
      <c r="I5" s="129"/>
      <c r="J5" s="129"/>
    </row>
    <row r="6" spans="1:10" s="6" customFormat="1" ht="18.75" thickBot="1" x14ac:dyDescent="0.25">
      <c r="A6" s="78" t="s">
        <v>122</v>
      </c>
      <c r="B6" s="79"/>
      <c r="C6" s="79"/>
      <c r="D6" s="22">
        <v>40</v>
      </c>
      <c r="E6" s="22" t="s">
        <v>91</v>
      </c>
      <c r="G6" s="49">
        <f>IF('Obstanlagewert nach Aufbauphase'!F23&gt;=0,0,'Obstanlagewert nach Aufbauphase'!F23)</f>
        <v>-64095.379999999976</v>
      </c>
      <c r="H6" s="20">
        <f>(G6/D6)*-1</f>
        <v>1602.3844999999994</v>
      </c>
      <c r="I6" s="129"/>
      <c r="J6" s="129"/>
    </row>
    <row r="7" spans="1:10" ht="18.75" thickBot="1" x14ac:dyDescent="0.25">
      <c r="A7" s="17" t="s">
        <v>43</v>
      </c>
      <c r="B7" s="17" t="str">
        <f>CONCATENATE("Kompost (",Kosten!$D$12,")")</f>
        <v>Kompost (t)</v>
      </c>
      <c r="C7" s="22">
        <v>1</v>
      </c>
      <c r="D7" s="22">
        <v>10</v>
      </c>
      <c r="E7" s="22" t="s">
        <v>223</v>
      </c>
      <c r="F7" s="6"/>
      <c r="G7" s="49">
        <f>Kosten!$E$12</f>
        <v>22</v>
      </c>
      <c r="H7" s="20">
        <f>C7*D7*G7</f>
        <v>220</v>
      </c>
      <c r="I7" s="129"/>
      <c r="J7" s="129"/>
    </row>
    <row r="8" spans="1:10" ht="18.75" thickBot="1" x14ac:dyDescent="0.25">
      <c r="A8" s="17" t="s">
        <v>57</v>
      </c>
      <c r="B8" s="17" t="s">
        <v>216</v>
      </c>
      <c r="C8" s="22">
        <v>2</v>
      </c>
      <c r="D8" s="22">
        <v>2.7</v>
      </c>
      <c r="E8" s="22" t="s">
        <v>87</v>
      </c>
      <c r="F8" s="22">
        <v>1.5</v>
      </c>
      <c r="G8" s="49">
        <f>Kosten!$E$14</f>
        <v>20.36</v>
      </c>
      <c r="H8" s="20">
        <f>C8*D8*F8*G8</f>
        <v>164.91600000000003</v>
      </c>
      <c r="I8" s="129"/>
      <c r="J8" s="129"/>
    </row>
    <row r="9" spans="1:10" ht="18.75" thickBot="1" x14ac:dyDescent="0.25">
      <c r="A9" s="17"/>
      <c r="B9" s="17" t="s">
        <v>217</v>
      </c>
      <c r="C9" s="22">
        <v>2</v>
      </c>
      <c r="D9" s="22">
        <v>4</v>
      </c>
      <c r="E9" s="22" t="s">
        <v>87</v>
      </c>
      <c r="F9" s="22">
        <v>1.5</v>
      </c>
      <c r="G9" s="49">
        <f>Kosten!$E$15</f>
        <v>3.92</v>
      </c>
      <c r="H9" s="20">
        <f t="shared" ref="H9:H13" si="0">C9*D9*F9*G9</f>
        <v>47.04</v>
      </c>
      <c r="I9" s="129"/>
      <c r="J9" s="129"/>
    </row>
    <row r="10" spans="1:10" ht="18.75" thickBot="1" x14ac:dyDescent="0.25">
      <c r="A10" s="17"/>
      <c r="B10" s="17" t="s">
        <v>218</v>
      </c>
      <c r="C10" s="22">
        <v>2</v>
      </c>
      <c r="D10" s="22">
        <v>8</v>
      </c>
      <c r="E10" s="22" t="s">
        <v>87</v>
      </c>
      <c r="F10" s="22">
        <v>1.5</v>
      </c>
      <c r="G10" s="49">
        <f>Kosten!$E$16</f>
        <v>11.14</v>
      </c>
      <c r="H10" s="20">
        <f t="shared" si="0"/>
        <v>267.36</v>
      </c>
      <c r="I10" s="129"/>
      <c r="J10" s="129"/>
    </row>
    <row r="11" spans="1:10" ht="18.75" thickBot="1" x14ac:dyDescent="0.25">
      <c r="A11" s="17"/>
      <c r="B11" s="36" t="s">
        <v>219</v>
      </c>
      <c r="C11" s="22">
        <v>0</v>
      </c>
      <c r="D11" s="22">
        <v>19.2</v>
      </c>
      <c r="E11" s="22" t="s">
        <v>215</v>
      </c>
      <c r="F11" s="22">
        <v>1.5</v>
      </c>
      <c r="G11" s="49">
        <f>Kosten!$E$17</f>
        <v>5.05</v>
      </c>
      <c r="H11" s="20">
        <f t="shared" si="0"/>
        <v>0</v>
      </c>
      <c r="I11" s="129"/>
      <c r="J11" s="129"/>
    </row>
    <row r="12" spans="1:10" ht="18.75" thickBot="1" x14ac:dyDescent="0.25">
      <c r="A12" s="17"/>
      <c r="B12" s="36" t="s">
        <v>220</v>
      </c>
      <c r="C12" s="22">
        <v>1</v>
      </c>
      <c r="D12" s="22">
        <v>4</v>
      </c>
      <c r="E12" s="22" t="s">
        <v>87</v>
      </c>
      <c r="F12" s="22">
        <v>1.5</v>
      </c>
      <c r="G12" s="49">
        <f>Kosten!$E$18</f>
        <v>19.96</v>
      </c>
      <c r="H12" s="20">
        <f t="shared" si="0"/>
        <v>119.76</v>
      </c>
      <c r="I12" s="129"/>
      <c r="J12" s="129"/>
    </row>
    <row r="13" spans="1:10" ht="18.75" thickBot="1" x14ac:dyDescent="0.25">
      <c r="A13" s="17"/>
      <c r="B13" s="46" t="s">
        <v>186</v>
      </c>
      <c r="C13" s="22">
        <v>2</v>
      </c>
      <c r="D13" s="22">
        <v>0.1</v>
      </c>
      <c r="E13" s="22" t="s">
        <v>215</v>
      </c>
      <c r="F13" s="22">
        <v>1.5</v>
      </c>
      <c r="G13" s="49">
        <f>Kosten!$E$19</f>
        <v>759</v>
      </c>
      <c r="H13" s="20">
        <f t="shared" si="0"/>
        <v>227.70000000000005</v>
      </c>
      <c r="I13" s="129"/>
      <c r="J13" s="129"/>
    </row>
    <row r="14" spans="1:10" ht="18.75" thickBot="1" x14ac:dyDescent="0.25">
      <c r="A14" s="17" t="s">
        <v>211</v>
      </c>
      <c r="B14" s="17"/>
      <c r="C14" s="17"/>
      <c r="D14" s="22">
        <v>5</v>
      </c>
      <c r="E14" s="146" t="s">
        <v>221</v>
      </c>
      <c r="F14" s="6"/>
      <c r="G14" s="49">
        <f>Kosten!$E$51</f>
        <v>30</v>
      </c>
      <c r="H14" s="20">
        <f>D14*G14</f>
        <v>150</v>
      </c>
      <c r="I14" s="129"/>
      <c r="J14" s="129"/>
    </row>
    <row r="15" spans="1:10" ht="18.75" thickBot="1" x14ac:dyDescent="0.25">
      <c r="A15" s="17" t="s">
        <v>26</v>
      </c>
      <c r="B15" s="17"/>
      <c r="C15" s="48"/>
      <c r="D15" s="22">
        <v>0.1</v>
      </c>
      <c r="E15" s="146" t="s">
        <v>222</v>
      </c>
      <c r="F15" s="6"/>
      <c r="G15" s="49">
        <f>Kosten!$E$23</f>
        <v>80</v>
      </c>
      <c r="H15" s="20">
        <f>D15*G15</f>
        <v>8</v>
      </c>
      <c r="I15" s="129"/>
      <c r="J15" s="129"/>
    </row>
    <row r="16" spans="1:10" ht="16.149999999999999" customHeight="1" x14ac:dyDescent="0.2">
      <c r="A16" s="50" t="s">
        <v>21</v>
      </c>
      <c r="B16" s="50"/>
      <c r="C16" s="50"/>
      <c r="D16" s="50"/>
      <c r="E16" s="50"/>
      <c r="F16" s="50"/>
      <c r="G16" s="52">
        <f>SUM(H6:H15)</f>
        <v>2807.1605</v>
      </c>
      <c r="I16" s="129"/>
      <c r="J16" s="129"/>
    </row>
    <row r="17" spans="1:10" ht="5.25" customHeight="1" x14ac:dyDescent="0.2">
      <c r="A17" s="17"/>
      <c r="B17" s="17"/>
      <c r="C17" s="17"/>
      <c r="D17" s="17"/>
      <c r="E17" s="17"/>
      <c r="F17" s="43"/>
      <c r="G17" s="53"/>
      <c r="I17" s="129"/>
      <c r="J17" s="129"/>
    </row>
    <row r="18" spans="1:10" ht="18.75" thickBot="1" x14ac:dyDescent="0.25">
      <c r="A18" s="80" t="s">
        <v>49</v>
      </c>
      <c r="B18" s="17"/>
      <c r="C18" s="17"/>
      <c r="D18" s="17"/>
      <c r="E18" s="17"/>
      <c r="F18" s="43"/>
      <c r="G18" s="81">
        <f>H5-G16</f>
        <v>6942.8395</v>
      </c>
      <c r="I18" s="129"/>
      <c r="J18" s="129"/>
    </row>
    <row r="19" spans="1:10" ht="28.5" customHeight="1" thickBot="1" x14ac:dyDescent="0.25">
      <c r="A19" s="13"/>
      <c r="B19" s="13"/>
      <c r="C19" s="44" t="s">
        <v>125</v>
      </c>
      <c r="D19" s="145" t="str">
        <f>D3</f>
        <v>Menge</v>
      </c>
      <c r="E19" s="14" t="s">
        <v>139</v>
      </c>
      <c r="F19" s="14" t="str">
        <f>H3</f>
        <v>Fr.-/ha</v>
      </c>
      <c r="H19" s="132"/>
      <c r="I19" s="129"/>
      <c r="J19" s="129"/>
    </row>
    <row r="20" spans="1:10" ht="18.75" thickBot="1" x14ac:dyDescent="0.25">
      <c r="A20" s="17" t="s">
        <v>7</v>
      </c>
      <c r="B20" s="17" t="s">
        <v>175</v>
      </c>
      <c r="C20" s="22">
        <v>1</v>
      </c>
      <c r="D20" s="22">
        <v>2</v>
      </c>
      <c r="E20" s="49">
        <f>Kosten!$E$31</f>
        <v>46</v>
      </c>
      <c r="F20" s="20">
        <f>C20*D20*E20</f>
        <v>92</v>
      </c>
      <c r="H20" s="132"/>
      <c r="I20" s="129"/>
      <c r="J20" s="129"/>
    </row>
    <row r="21" spans="1:10" ht="18.75" thickBot="1" x14ac:dyDescent="0.25">
      <c r="A21" s="17"/>
      <c r="B21" s="17" t="s">
        <v>214</v>
      </c>
      <c r="C21" s="22">
        <v>6</v>
      </c>
      <c r="D21" s="22">
        <v>1</v>
      </c>
      <c r="E21" s="19">
        <f>Kosten!E38</f>
        <v>28.13</v>
      </c>
      <c r="F21" s="20">
        <f>C21*D21*E21</f>
        <v>168.78</v>
      </c>
      <c r="G21" s="132"/>
      <c r="H21" s="132"/>
      <c r="I21" s="129"/>
      <c r="J21" s="129"/>
    </row>
    <row r="22" spans="1:10" ht="18.75" thickBot="1" x14ac:dyDescent="0.25">
      <c r="A22" s="17"/>
      <c r="B22" s="17" t="s">
        <v>177</v>
      </c>
      <c r="C22" s="17"/>
      <c r="D22" s="22">
        <f>D52</f>
        <v>7.5</v>
      </c>
      <c r="E22" s="49">
        <f>Kosten!$E$33</f>
        <v>37</v>
      </c>
      <c r="F22" s="20">
        <f t="shared" ref="F22:F29" si="1">D22*E22</f>
        <v>277.5</v>
      </c>
      <c r="G22" s="132"/>
      <c r="H22" s="132"/>
      <c r="I22" s="129"/>
      <c r="J22" s="129"/>
    </row>
    <row r="23" spans="1:10" ht="18.75" thickBot="1" x14ac:dyDescent="0.25">
      <c r="A23" s="17"/>
      <c r="B23" s="17" t="s">
        <v>36</v>
      </c>
      <c r="C23" s="17"/>
      <c r="D23" s="22">
        <v>2</v>
      </c>
      <c r="E23" s="49">
        <f>Kosten!$E$39</f>
        <v>20</v>
      </c>
      <c r="F23" s="20">
        <f t="shared" si="1"/>
        <v>40</v>
      </c>
      <c r="H23" s="132"/>
      <c r="I23" s="129"/>
      <c r="J23" s="129"/>
    </row>
    <row r="24" spans="1:10" ht="15" customHeight="1" thickBot="1" x14ac:dyDescent="0.25">
      <c r="A24" s="17"/>
      <c r="B24" s="17" t="s">
        <v>178</v>
      </c>
      <c r="C24" s="17"/>
      <c r="D24" s="22">
        <v>40</v>
      </c>
      <c r="E24" s="49">
        <f>Kosten!$E$40</f>
        <v>19</v>
      </c>
      <c r="F24" s="20">
        <f t="shared" si="1"/>
        <v>760</v>
      </c>
      <c r="H24" s="132"/>
      <c r="I24" s="129"/>
      <c r="J24" s="129"/>
    </row>
    <row r="25" spans="1:10" ht="12.75" customHeight="1" thickBot="1" x14ac:dyDescent="0.25">
      <c r="A25" s="17"/>
      <c r="B25" s="17" t="s">
        <v>111</v>
      </c>
      <c r="C25" s="17"/>
      <c r="D25" s="22">
        <v>16</v>
      </c>
      <c r="E25" s="49">
        <f>Kosten!E36</f>
        <v>20</v>
      </c>
      <c r="F25" s="20">
        <f t="shared" si="1"/>
        <v>320</v>
      </c>
      <c r="H25" s="132"/>
      <c r="I25" s="129"/>
      <c r="J25" s="129"/>
    </row>
    <row r="26" spans="1:10" ht="12.75" customHeight="1" thickBot="1" x14ac:dyDescent="0.25">
      <c r="A26" s="17"/>
      <c r="B26" s="17" t="s">
        <v>113</v>
      </c>
      <c r="C26" s="17"/>
      <c r="D26" s="22">
        <v>8</v>
      </c>
      <c r="E26" s="49">
        <f>Kosten!E42</f>
        <v>53</v>
      </c>
      <c r="F26" s="20">
        <f t="shared" si="1"/>
        <v>424</v>
      </c>
      <c r="H26" s="132"/>
      <c r="I26" s="129"/>
      <c r="J26" s="129"/>
    </row>
    <row r="27" spans="1:10" ht="18.75" thickBot="1" x14ac:dyDescent="0.25">
      <c r="A27" s="17"/>
      <c r="B27" s="17" t="s">
        <v>179</v>
      </c>
      <c r="C27" s="17"/>
      <c r="D27" s="22">
        <v>11</v>
      </c>
      <c r="E27" s="49">
        <f>Kosten!E43</f>
        <v>42</v>
      </c>
      <c r="F27" s="20">
        <f t="shared" si="1"/>
        <v>462</v>
      </c>
      <c r="G27" s="132"/>
      <c r="H27" s="132"/>
      <c r="I27" s="129"/>
      <c r="J27" s="129"/>
    </row>
    <row r="28" spans="1:10" ht="18.75" thickBot="1" x14ac:dyDescent="0.25">
      <c r="A28" s="17"/>
      <c r="B28" t="s">
        <v>180</v>
      </c>
      <c r="C28" s="17"/>
      <c r="D28" s="22">
        <v>3</v>
      </c>
      <c r="E28" s="49">
        <f>Kosten!$E$41</f>
        <v>13</v>
      </c>
      <c r="F28" s="20">
        <f t="shared" si="1"/>
        <v>39</v>
      </c>
      <c r="G28" s="132"/>
      <c r="H28" s="132"/>
      <c r="I28" s="129"/>
      <c r="J28" s="129"/>
    </row>
    <row r="29" spans="1:10" ht="18.75" thickBot="1" x14ac:dyDescent="0.25">
      <c r="A29" s="17" t="s">
        <v>10</v>
      </c>
      <c r="B29" s="17" t="s">
        <v>181</v>
      </c>
      <c r="C29" s="17"/>
      <c r="D29" s="22">
        <f>C20*D20+C21*D21+D22+D23+D26+D28</f>
        <v>28.5</v>
      </c>
      <c r="E29" s="49">
        <f>Kosten!$E$45</f>
        <v>48</v>
      </c>
      <c r="F29" s="20">
        <f t="shared" si="1"/>
        <v>1368</v>
      </c>
      <c r="H29" s="132"/>
      <c r="I29" s="129"/>
      <c r="J29" s="129"/>
    </row>
    <row r="30" spans="1:10" ht="16.149999999999999" customHeight="1" x14ac:dyDescent="0.2">
      <c r="A30" s="82" t="s">
        <v>12</v>
      </c>
      <c r="B30" s="82"/>
      <c r="C30" s="82"/>
      <c r="D30" s="82"/>
      <c r="E30" s="83"/>
      <c r="F30" s="84">
        <f>SUM(F20:F29)</f>
        <v>3951.2799999999997</v>
      </c>
      <c r="H30" s="132"/>
      <c r="I30" s="129"/>
      <c r="J30" s="129"/>
    </row>
    <row r="31" spans="1:10" ht="18.75" thickBot="1" x14ac:dyDescent="0.25">
      <c r="A31" s="17"/>
      <c r="B31" s="17"/>
      <c r="C31" s="17"/>
      <c r="D31" s="17"/>
      <c r="E31" s="17"/>
      <c r="F31" s="53"/>
      <c r="H31" s="132"/>
      <c r="I31" s="129"/>
      <c r="J31" s="129"/>
    </row>
    <row r="32" spans="1:10" ht="18.75" thickBot="1" x14ac:dyDescent="0.25">
      <c r="A32" s="82" t="s">
        <v>13</v>
      </c>
      <c r="B32" s="82"/>
      <c r="C32" s="82"/>
      <c r="D32" s="82"/>
      <c r="E32" s="83"/>
      <c r="F32" s="84">
        <f>Kosten!$E$49</f>
        <v>700</v>
      </c>
      <c r="H32" s="132"/>
      <c r="I32" s="129"/>
      <c r="J32" s="129"/>
    </row>
    <row r="33" spans="1:10" ht="18.75" thickBot="1" x14ac:dyDescent="0.25">
      <c r="A33" s="82" t="s">
        <v>50</v>
      </c>
      <c r="B33" s="82"/>
      <c r="C33" s="82"/>
      <c r="D33" s="82"/>
      <c r="E33" s="83"/>
      <c r="F33" s="84">
        <f>Kosten!$E$27</f>
        <v>48</v>
      </c>
      <c r="H33" s="132"/>
      <c r="I33" s="129"/>
      <c r="J33" s="129"/>
    </row>
    <row r="34" spans="1:10" ht="14.25" customHeight="1" thickBot="1" x14ac:dyDescent="0.25">
      <c r="A34" s="82" t="s">
        <v>123</v>
      </c>
      <c r="B34" s="82"/>
      <c r="C34" s="82"/>
      <c r="D34" s="85">
        <f>Kosten!E65/100</f>
        <v>250</v>
      </c>
      <c r="E34" s="86">
        <f>Kosten!E28</f>
        <v>1</v>
      </c>
      <c r="F34" s="84">
        <f>D34*E34</f>
        <v>250</v>
      </c>
      <c r="H34" s="132"/>
      <c r="I34" s="129"/>
      <c r="J34" s="129"/>
    </row>
    <row r="35" spans="1:10" ht="14.25" customHeight="1" thickBot="1" x14ac:dyDescent="0.25">
      <c r="A35" s="82" t="s">
        <v>112</v>
      </c>
      <c r="B35" s="82"/>
      <c r="C35" s="82"/>
      <c r="D35" s="87">
        <v>2.5000000000000001E-2</v>
      </c>
      <c r="E35" s="88">
        <f>Erstellung!F14</f>
        <v>11137</v>
      </c>
      <c r="F35" s="89">
        <f>(E35*D35)</f>
        <v>278.42500000000001</v>
      </c>
      <c r="H35" s="132"/>
      <c r="I35" s="129"/>
      <c r="J35" s="129"/>
    </row>
    <row r="36" spans="1:10" ht="12.75" customHeight="1" x14ac:dyDescent="0.2">
      <c r="A36" s="80" t="s">
        <v>56</v>
      </c>
      <c r="B36" s="80"/>
      <c r="C36" s="80"/>
      <c r="D36" s="80"/>
      <c r="E36" s="90"/>
      <c r="F36" s="81">
        <f>H5-G16-F30-F32-F33-F34-F35</f>
        <v>1715.1345000000003</v>
      </c>
      <c r="H36" s="132"/>
      <c r="I36" s="129"/>
      <c r="J36" s="129"/>
    </row>
    <row r="37" spans="1:10" ht="12.75" customHeight="1" thickBot="1" x14ac:dyDescent="0.25">
      <c r="A37" s="80" t="s">
        <v>54</v>
      </c>
      <c r="B37" s="80"/>
      <c r="C37" s="80"/>
      <c r="D37" s="80"/>
      <c r="E37" s="90"/>
      <c r="F37" s="81"/>
      <c r="H37" s="132"/>
      <c r="I37" s="129"/>
      <c r="J37" s="129"/>
    </row>
    <row r="38" spans="1:10" ht="12.75" customHeight="1" thickBot="1" x14ac:dyDescent="0.25">
      <c r="A38" s="91" t="s">
        <v>96</v>
      </c>
      <c r="B38" s="91"/>
      <c r="C38" s="91"/>
      <c r="D38" s="92">
        <f>Erstellung!$D$4</f>
        <v>120</v>
      </c>
      <c r="E38" s="66">
        <f>'Obstanlagewert nach Aufbauphase'!H32</f>
        <v>30</v>
      </c>
      <c r="F38" s="89">
        <f>D38*E38</f>
        <v>3600</v>
      </c>
      <c r="H38" s="132"/>
      <c r="I38" s="129"/>
      <c r="J38" s="129"/>
    </row>
    <row r="39" spans="1:10" ht="12.75" customHeight="1" thickBot="1" x14ac:dyDescent="0.25">
      <c r="A39" s="91" t="s">
        <v>104</v>
      </c>
      <c r="B39" s="91"/>
      <c r="C39" s="91"/>
      <c r="D39" s="93"/>
      <c r="E39" s="66"/>
      <c r="F39" s="89">
        <f>Kosten!E56</f>
        <v>0</v>
      </c>
      <c r="H39" s="132"/>
      <c r="I39" s="129"/>
      <c r="J39" s="129"/>
    </row>
    <row r="40" spans="1:10" ht="12.75" customHeight="1" thickBot="1" x14ac:dyDescent="0.25">
      <c r="A40" s="91" t="s">
        <v>27</v>
      </c>
      <c r="B40" s="91"/>
      <c r="C40" s="91"/>
      <c r="D40" s="93"/>
      <c r="E40" s="66"/>
      <c r="F40" s="89">
        <f>Kosten!E57</f>
        <v>200</v>
      </c>
      <c r="H40" s="132"/>
      <c r="I40" s="129"/>
      <c r="J40" s="129"/>
    </row>
    <row r="41" spans="1:10" ht="12.75" customHeight="1" thickBot="1" x14ac:dyDescent="0.25">
      <c r="A41" s="80" t="s">
        <v>28</v>
      </c>
      <c r="B41" s="80"/>
      <c r="C41" s="17"/>
      <c r="D41" s="36"/>
      <c r="E41" s="94"/>
      <c r="F41" s="95">
        <f>SUM(F36:F40)</f>
        <v>5515.1345000000001</v>
      </c>
      <c r="H41" s="132"/>
      <c r="I41" s="129"/>
      <c r="J41" s="129"/>
    </row>
    <row r="42" spans="1:10" ht="18.75" thickBot="1" x14ac:dyDescent="0.25">
      <c r="A42" s="17" t="s">
        <v>14</v>
      </c>
      <c r="B42" s="17" t="s">
        <v>149</v>
      </c>
      <c r="C42" s="17"/>
      <c r="D42" s="22">
        <v>45</v>
      </c>
      <c r="E42" s="19">
        <f>Kosten!$E$51</f>
        <v>30</v>
      </c>
      <c r="F42" s="20">
        <f t="shared" ref="F42:F53" si="2">D42*E42</f>
        <v>1350</v>
      </c>
      <c r="H42" s="132"/>
      <c r="I42" s="129"/>
      <c r="J42" s="129"/>
    </row>
    <row r="43" spans="1:10" ht="18.75" thickBot="1" x14ac:dyDescent="0.25">
      <c r="A43" s="17"/>
      <c r="B43" s="17" t="s">
        <v>142</v>
      </c>
      <c r="C43" s="17"/>
      <c r="D43" s="22">
        <v>12</v>
      </c>
      <c r="E43" s="19">
        <f>Kosten!$E$51</f>
        <v>30</v>
      </c>
      <c r="F43" s="20">
        <f t="shared" si="2"/>
        <v>360</v>
      </c>
      <c r="H43" s="132"/>
      <c r="I43" s="129"/>
      <c r="J43" s="129"/>
    </row>
    <row r="44" spans="1:10" ht="18.75" thickBot="1" x14ac:dyDescent="0.25">
      <c r="A44" s="17"/>
      <c r="B44" s="17" t="s">
        <v>114</v>
      </c>
      <c r="C44" s="17"/>
      <c r="D44" s="22">
        <v>20</v>
      </c>
      <c r="E44" s="19">
        <f>Kosten!$E$51</f>
        <v>30</v>
      </c>
      <c r="F44" s="20">
        <f t="shared" si="2"/>
        <v>600</v>
      </c>
      <c r="G44" s="132"/>
      <c r="H44" s="132"/>
      <c r="I44" s="129"/>
      <c r="J44" s="129"/>
    </row>
    <row r="45" spans="1:10" ht="18.75" thickBot="1" x14ac:dyDescent="0.25">
      <c r="A45" s="17"/>
      <c r="B45" s="17" t="s">
        <v>34</v>
      </c>
      <c r="C45" s="17"/>
      <c r="D45" s="22">
        <v>10</v>
      </c>
      <c r="E45" s="19">
        <f>Kosten!$E$51</f>
        <v>30</v>
      </c>
      <c r="F45" s="20">
        <f t="shared" si="2"/>
        <v>300</v>
      </c>
      <c r="H45" s="132"/>
      <c r="I45" s="129"/>
      <c r="J45" s="129"/>
    </row>
    <row r="46" spans="1:10" ht="18.75" thickBot="1" x14ac:dyDescent="0.25">
      <c r="A46" s="17"/>
      <c r="B46" s="17" t="s">
        <v>35</v>
      </c>
      <c r="C46" s="17"/>
      <c r="D46" s="22">
        <v>20</v>
      </c>
      <c r="E46" s="19">
        <f>Kosten!$E$51</f>
        <v>30</v>
      </c>
      <c r="F46" s="20">
        <f t="shared" si="2"/>
        <v>600</v>
      </c>
      <c r="G46" s="132"/>
      <c r="H46" s="132"/>
      <c r="I46" s="129"/>
      <c r="J46" s="129"/>
    </row>
    <row r="47" spans="1:10" ht="18.75" thickBot="1" x14ac:dyDescent="0.25">
      <c r="A47" s="17"/>
      <c r="B47" s="17" t="s">
        <v>109</v>
      </c>
      <c r="C47" s="17"/>
      <c r="D47" s="22">
        <v>10</v>
      </c>
      <c r="E47" s="19">
        <f>Kosten!$E$51</f>
        <v>30</v>
      </c>
      <c r="F47" s="20">
        <f t="shared" si="2"/>
        <v>300</v>
      </c>
      <c r="H47" s="132"/>
      <c r="I47" s="129"/>
      <c r="J47" s="129"/>
    </row>
    <row r="48" spans="1:10" ht="18.75" thickBot="1" x14ac:dyDescent="0.25">
      <c r="A48" s="17"/>
      <c r="B48" s="17" t="s">
        <v>44</v>
      </c>
      <c r="C48" s="17"/>
      <c r="D48" s="22">
        <v>10</v>
      </c>
      <c r="E48" s="19">
        <f>Kosten!$E$51</f>
        <v>30</v>
      </c>
      <c r="F48" s="20">
        <f t="shared" si="2"/>
        <v>300</v>
      </c>
      <c r="H48" s="132"/>
      <c r="I48" s="129"/>
      <c r="J48" s="129"/>
    </row>
    <row r="49" spans="1:10" ht="18.75" thickBot="1" x14ac:dyDescent="0.25">
      <c r="A49" s="17"/>
      <c r="B49" s="17" t="s">
        <v>143</v>
      </c>
      <c r="C49" s="17"/>
      <c r="D49" s="22">
        <v>12</v>
      </c>
      <c r="E49" s="19">
        <f>Kosten!$E$51</f>
        <v>30</v>
      </c>
      <c r="F49" s="20">
        <f t="shared" si="2"/>
        <v>360</v>
      </c>
      <c r="H49" s="132"/>
      <c r="I49" s="129"/>
      <c r="J49" s="129"/>
    </row>
    <row r="50" spans="1:10" ht="18.75" thickBot="1" x14ac:dyDescent="0.25">
      <c r="A50" s="17"/>
      <c r="B50" s="17" t="s">
        <v>144</v>
      </c>
      <c r="C50" s="17"/>
      <c r="D50" s="22">
        <v>16</v>
      </c>
      <c r="E50" s="19">
        <f>Kosten!$E$51</f>
        <v>30</v>
      </c>
      <c r="F50" s="20">
        <f t="shared" si="2"/>
        <v>480</v>
      </c>
      <c r="G50" s="132"/>
      <c r="H50" s="132"/>
      <c r="I50" s="129"/>
      <c r="J50" s="129"/>
    </row>
    <row r="51" spans="1:10" ht="18.75" thickBot="1" x14ac:dyDescent="0.25">
      <c r="A51" s="17"/>
      <c r="B51" s="17" t="s">
        <v>224</v>
      </c>
      <c r="C51" s="17"/>
      <c r="D51" s="22">
        <v>22.5</v>
      </c>
      <c r="E51" s="19">
        <f>Kosten!$E$51</f>
        <v>30</v>
      </c>
      <c r="F51" s="20">
        <f t="shared" si="2"/>
        <v>675</v>
      </c>
      <c r="G51" s="132"/>
      <c r="H51" s="132"/>
      <c r="I51" s="129"/>
      <c r="J51" s="129"/>
    </row>
    <row r="52" spans="1:10" ht="18.75" thickBot="1" x14ac:dyDescent="0.25">
      <c r="A52" s="17"/>
      <c r="B52" s="17" t="str">
        <f>CONCATENATE("Abtransport zur Mosterei (",D4," kg)")</f>
        <v>Abtransport zur Mosterei (25000 kg)</v>
      </c>
      <c r="C52" s="17"/>
      <c r="D52" s="22">
        <v>7.5</v>
      </c>
      <c r="E52" s="19">
        <f>Kosten!$E$51</f>
        <v>30</v>
      </c>
      <c r="F52" s="20">
        <f t="shared" si="2"/>
        <v>225</v>
      </c>
      <c r="G52" s="132"/>
      <c r="H52" s="132"/>
      <c r="I52" s="129"/>
      <c r="J52" s="129"/>
    </row>
    <row r="53" spans="1:10" ht="18.75" thickBot="1" x14ac:dyDescent="0.25">
      <c r="A53" s="17" t="s">
        <v>22</v>
      </c>
      <c r="B53" s="17" t="s">
        <v>23</v>
      </c>
      <c r="C53" s="17"/>
      <c r="D53" s="22">
        <f>(0.1)*(SUM(D42:D52))</f>
        <v>18.5</v>
      </c>
      <c r="E53" s="19">
        <f>Kosten!$E$51</f>
        <v>30</v>
      </c>
      <c r="F53" s="20">
        <f t="shared" si="2"/>
        <v>555</v>
      </c>
      <c r="H53" s="132"/>
      <c r="I53" s="129"/>
      <c r="J53" s="129"/>
    </row>
    <row r="54" spans="1:10" ht="18.75" hidden="1" thickBot="1" x14ac:dyDescent="0.25">
      <c r="A54" s="17"/>
      <c r="B54" s="17"/>
      <c r="C54" s="17"/>
      <c r="D54" s="21"/>
      <c r="E54" s="49"/>
      <c r="F54" s="20"/>
      <c r="H54" s="132"/>
      <c r="I54" s="129"/>
      <c r="J54" s="129"/>
    </row>
    <row r="55" spans="1:10" ht="16.149999999999999" customHeight="1" thickBot="1" x14ac:dyDescent="0.25">
      <c r="A55" s="96" t="s">
        <v>55</v>
      </c>
      <c r="B55" s="96"/>
      <c r="C55" s="21"/>
      <c r="D55" s="21">
        <f>SUM(D42:D54)</f>
        <v>203.5</v>
      </c>
      <c r="E55" s="49"/>
      <c r="F55" s="89">
        <f>SUM(F42:F53)</f>
        <v>6105</v>
      </c>
      <c r="H55" s="132"/>
      <c r="I55" s="129"/>
      <c r="J55" s="129"/>
    </row>
    <row r="56" spans="1:10" ht="18" hidden="1" x14ac:dyDescent="0.2">
      <c r="A56" s="17"/>
      <c r="B56" s="17"/>
      <c r="C56" s="17"/>
      <c r="D56" s="17"/>
      <c r="E56" s="43"/>
      <c r="F56" s="53"/>
      <c r="H56" s="132"/>
      <c r="I56" s="129"/>
      <c r="J56" s="129"/>
    </row>
    <row r="57" spans="1:10" ht="18" hidden="1" x14ac:dyDescent="0.2">
      <c r="A57" s="97" t="s">
        <v>29</v>
      </c>
      <c r="B57" s="97"/>
      <c r="C57" s="97"/>
      <c r="D57" s="97"/>
      <c r="E57" s="97"/>
      <c r="F57" s="98">
        <f>D55</f>
        <v>203.5</v>
      </c>
      <c r="H57" s="132"/>
      <c r="I57" s="129"/>
      <c r="J57" s="129"/>
    </row>
    <row r="58" spans="1:10" ht="18" hidden="1" x14ac:dyDescent="0.2">
      <c r="A58" s="97" t="s">
        <v>30</v>
      </c>
      <c r="B58" s="97"/>
      <c r="C58" s="97"/>
      <c r="D58" s="97"/>
      <c r="E58" s="99"/>
      <c r="F58" s="98">
        <f>D53</f>
        <v>18.5</v>
      </c>
      <c r="H58" s="132"/>
      <c r="I58" s="129"/>
      <c r="J58" s="129"/>
    </row>
    <row r="59" spans="1:10" ht="16.149999999999999" customHeight="1" x14ac:dyDescent="0.2">
      <c r="A59" s="100" t="s">
        <v>31</v>
      </c>
      <c r="B59" s="100"/>
      <c r="C59" s="100"/>
      <c r="D59" s="100"/>
      <c r="E59" s="101"/>
      <c r="F59" s="102">
        <f>F41/D55</f>
        <v>27.101398034398034</v>
      </c>
      <c r="H59" s="132"/>
      <c r="I59" s="129"/>
      <c r="J59" s="129"/>
    </row>
    <row r="60" spans="1:10" ht="5.25" customHeight="1" thickBot="1" x14ac:dyDescent="0.25">
      <c r="A60" s="17"/>
      <c r="B60" s="17"/>
      <c r="C60" s="17"/>
      <c r="D60" s="17"/>
      <c r="E60" s="17"/>
      <c r="F60" s="53"/>
      <c r="I60" s="129"/>
      <c r="J60" s="129"/>
    </row>
    <row r="61" spans="1:10" ht="17.45" customHeight="1" thickBot="1" x14ac:dyDescent="0.25">
      <c r="A61" s="103" t="str">
        <f>CONCATENATE("Kalk. Gewinn bei vergleichbarem Stundenlohn à ",TEXT(Kosten!$E$51,"0.00"),"/h")</f>
        <v>Kalk. Gewinn bei vergleichbarem Stundenlohn à 30.00/h</v>
      </c>
      <c r="B61" s="103"/>
      <c r="C61" s="103"/>
      <c r="D61" s="103"/>
      <c r="E61" s="103"/>
      <c r="F61" s="131">
        <f>F41-F55</f>
        <v>-589.86549999999988</v>
      </c>
      <c r="I61" s="129"/>
      <c r="J61" s="129"/>
    </row>
    <row r="62" spans="1:10" ht="9" customHeight="1" x14ac:dyDescent="0.2">
      <c r="I62" s="129"/>
      <c r="J62" s="129"/>
    </row>
    <row r="63" spans="1:10" ht="17.45" customHeight="1" x14ac:dyDescent="0.2">
      <c r="A63" s="149" t="str">
        <f>CONCATENATE("Kosten pro 100 kg Mostobst bei Stundenlohn à ",TEXT(Kosten!$E$51,"0.00"),"/h")</f>
        <v>Kosten pro 100 kg Mostobst bei Stundenlohn à 30.00/h</v>
      </c>
      <c r="B63" s="149"/>
      <c r="C63" s="149"/>
      <c r="D63" s="149"/>
      <c r="E63" s="149"/>
      <c r="F63" s="150">
        <f>100*(G16+F30+F32+F33+F34+F35+F55-F38-F39-F40)/Ertragsphase!D4</f>
        <v>41.359462000000001</v>
      </c>
      <c r="I63" s="129"/>
      <c r="J63" s="129"/>
    </row>
    <row r="64" spans="1:10" ht="9.6" customHeight="1" x14ac:dyDescent="0.2">
      <c r="I64" s="129"/>
      <c r="J64" s="129"/>
    </row>
    <row r="65" spans="1:10" ht="18" x14ac:dyDescent="0.2">
      <c r="A65" t="s">
        <v>150</v>
      </c>
      <c r="I65" s="129"/>
      <c r="J65" s="129"/>
    </row>
    <row r="66" spans="1:10" ht="18" x14ac:dyDescent="0.2">
      <c r="I66" s="129"/>
      <c r="J66" s="129"/>
    </row>
    <row r="67" spans="1:10" ht="18" x14ac:dyDescent="0.2">
      <c r="A67" t="s">
        <v>204</v>
      </c>
      <c r="I67" s="129"/>
      <c r="J67" s="129"/>
    </row>
    <row r="68" spans="1:10" ht="18" x14ac:dyDescent="0.2">
      <c r="I68" s="129"/>
      <c r="J68" s="129"/>
    </row>
    <row r="69" spans="1:10" ht="18" x14ac:dyDescent="0.2">
      <c r="I69" s="129"/>
      <c r="J69" s="129"/>
    </row>
    <row r="70" spans="1:10" ht="18" x14ac:dyDescent="0.2">
      <c r="I70" s="129"/>
      <c r="J70" s="129"/>
    </row>
    <row r="71" spans="1:10" ht="18" x14ac:dyDescent="0.2">
      <c r="I71" s="129"/>
      <c r="J71" s="129"/>
    </row>
  </sheetData>
  <protectedRanges>
    <protectedRange sqref="D20:D29 D42:D53 D14:F15 D6:F7 D35" name="Bereich1"/>
    <protectedRange sqref="C7" name="Bereich1_1"/>
    <protectedRange sqref="C20" name="Bereich1_4"/>
    <protectedRange sqref="C8:F13" name="Bereich1_6"/>
  </protectedRanges>
  <phoneticPr fontId="6" type="noConversion"/>
  <pageMargins left="0.70866141732283472" right="0.70866141732283472" top="0.78740157480314965" bottom="0.74803149606299213" header="0.31496062992125984" footer="0.31496062992125984"/>
  <pageSetup paperSize="9" firstPageNumber="0" orientation="portrait" r:id="rId1"/>
  <headerFooter>
    <oddFooter>&amp;L&amp;G&amp;C© Copyright 2016 FiBL, Frick. Alle Rechte vorbehalten.</oddFoot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
  <sheetViews>
    <sheetView workbookViewId="0"/>
  </sheetViews>
  <sheetFormatPr baseColWidth="10" defaultRowHeight="12.75" x14ac:dyDescent="0.2"/>
  <sheetData/>
  <sheetProtection selectLockedCells="1" selectUnlockedCells="1"/>
  <phoneticPr fontId="6" type="noConversion"/>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Nutzungsvereinbarung</vt:lpstr>
      <vt:lpstr>Kosten</vt:lpstr>
      <vt:lpstr>Erstellung</vt:lpstr>
      <vt:lpstr>Aufbauphase</vt:lpstr>
      <vt:lpstr>Obstanlagewert nach Aufbauphase</vt:lpstr>
      <vt:lpstr>Ertragsphase</vt:lpstr>
      <vt:lpstr>modDBKAT01</vt:lpstr>
      <vt:lpstr>Aufbauphase!Druckbereich</vt:lpstr>
      <vt:lpstr>Erstellung!Druckbereich</vt:lpstr>
      <vt:lpstr>Ertragsphase!Druckbereich</vt:lpstr>
      <vt:lpstr>Nutzungsvereinbarung!Druckbereich</vt:lpstr>
      <vt:lpstr>'Obstanlagewert nach Aufbauphase'!Druckbereich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Obst,Beeren</dc:title>
  <dc:creator>Armin MEyer</dc:creator>
  <cp:lastModifiedBy>Suard Thierry</cp:lastModifiedBy>
  <cp:revision>10</cp:revision>
  <cp:lastPrinted>2024-09-24T12:28:59Z</cp:lastPrinted>
  <dcterms:created xsi:type="dcterms:W3CDTF">2003-06-17T05:36:42Z</dcterms:created>
  <dcterms:modified xsi:type="dcterms:W3CDTF">2024-11-14T14:41:05Z</dcterms:modified>
</cp:coreProperties>
</file>